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omments3.xml" ContentType="application/vnd.openxmlformats-officedocument.spreadsheetml.comments+xml"/>
  <Override PartName="/xl/drawings/drawing4.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omments4.xml" ContentType="application/vnd.openxmlformats-officedocument.spreadsheetml.comments+xml"/>
  <Override PartName="/xl/drawings/drawing5.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omments5.xml" ContentType="application/vnd.openxmlformats-officedocument.spreadsheetml.comments+xml"/>
  <Override PartName="/xl/drawings/drawing6.xml" ContentType="application/vnd.openxmlformats-officedocument.drawing+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comments6.xml" ContentType="application/vnd.openxmlformats-officedocument.spreadsheetml.comment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KANSLIAS000002\HOME2$\BABITVA\System\Desktop\Laskelmat 2026 pohjat\"/>
    </mc:Choice>
  </mc:AlternateContent>
  <xr:revisionPtr revIDLastSave="0" documentId="13_ncr:1_{EAD1418F-ADC7-4F4B-9E94-30244D2D8738}" xr6:coauthVersionLast="47" xr6:coauthVersionMax="47" xr10:uidLastSave="{00000000-0000-0000-0000-000000000000}"/>
  <workbookProtection lockStructure="1"/>
  <bookViews>
    <workbookView xWindow="-120" yWindow="-120" windowWidth="29040" windowHeight="15720" xr2:uid="{C0EF424F-88BF-D34E-8BF7-BD04FDDB8F80}"/>
  </bookViews>
  <sheets>
    <sheet name="Rahoituslaskelma" sheetId="1" r:id="rId1"/>
    <sheet name="Kannattavuuslaskelma" sheetId="2" r:id="rId2"/>
    <sheet name="Kk-myyntilaskelma" sheetId="3" r:id="rId3"/>
    <sheet name="Kassavirtalaskelma1v" sheetId="4" r:id="rId4"/>
    <sheet name="Kassavirtalaskelma2v" sheetId="8" r:id="rId5"/>
    <sheet name="Kassavirtalaskelma3v" sheetId="9" r:id="rId6"/>
  </sheets>
  <definedNames>
    <definedName name="Arvonlisäveroprosentti" comment="Ensimmäisen vuoden arvonlisäveroprosentti." localSheetId="3">Kassavirtalaskelma1v!$A$5</definedName>
    <definedName name="Arvonlisäveroprosentti" comment="Toisen vuoden arvonlisäveroprosentti." localSheetId="4">Kassavirtalaskelma2v!$A$5</definedName>
    <definedName name="Arvonlisäveroprosentti" comment="Kolmannen vuoden arvonlisäveroprosentti." localSheetId="5">Kassavirtalaskelma3v!$A$5</definedName>
    <definedName name="Tilikauden_alku" comment="Ensimmäisen vuoden tilikauden alun ajankohta." localSheetId="3">Kassavirtalaskelma1v!$A$7</definedName>
    <definedName name="Tilikauden_alku" comment="Toisen vuoden tilikauden alun ajankohta." localSheetId="4">Kassavirtalaskelma2v!$A$7</definedName>
    <definedName name="Tilikauden_alku" comment="Kolmannen vuoden tilikauden alun ajankohta." localSheetId="5">Kassavirtalaskelma3v!$A$7</definedName>
    <definedName name="Tuote_Palvelu_1_nimi" comment="Ensimmäisen tuotteen, palvelun, tai tuoteryhmän nimi." localSheetId="2">'Kk-myyntilaskelma'!$B$3</definedName>
    <definedName name="Tuote_Palvelu_2_nimi" comment="Toisen tuotteen, palvelun, tai tuoteryhmän nimi." localSheetId="2">'Kk-myyntilaskelma'!$D$3</definedName>
    <definedName name="Tuote_Palvelu_3_nimi" comment="Kolmannen tuotteen, palvelun, tai tuoteryhmän nimi." localSheetId="2">'Kk-myyntilaskelma'!$F$3</definedName>
    <definedName name="Tuote_Palvelu_4_nimi" comment="Neljännen tuotteen, palvelun, tai tuoteryhmän nimi." localSheetId="2">'Kk-myyntilaskelma'!$H$3</definedName>
    <definedName name="Tuote_Palvelu_5_nimi" comment="Viidennen tuotteen, palvelun, tai tuoteryhmän nimi." localSheetId="2">'Kk-myyntilaskelma'!$J$3</definedName>
    <definedName name="Tuote_Palvelu_6_nimi" comment="Kuudennen tuotteen, palvelun, tai tuoteryhmän nimi." localSheetId="2">'Kk-myyntilaskelma'!$L$3</definedName>
    <definedName name="Verohallinnon_sivujen_veroprosenttilaskuri" comment="Tästä pääset verohallinnon sivujen veroprosenttilaskuriin, jossa voit laskea tarkemmin veroprosenttisi." localSheetId="1">Kannattavuuslaskelma!$A$4</definedName>
    <definedName name="Yrityksen_nimi" comment="Kirjoita tähän yrityksesi nimi." localSheetId="0">Rahoituslaskelma!$A$5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0" i="4" l="1"/>
  <c r="E20" i="4"/>
  <c r="N36" i="8" l="1"/>
  <c r="B32" i="4"/>
  <c r="B20" i="4"/>
  <c r="M20" i="9"/>
  <c r="N11" i="8"/>
  <c r="M40" i="8"/>
  <c r="B20" i="8" l="1"/>
  <c r="M20" i="4"/>
  <c r="O19" i="4"/>
  <c r="O11" i="4" l="1"/>
  <c r="O12" i="4"/>
  <c r="O13" i="4"/>
  <c r="M40" i="9" l="1"/>
  <c r="L40" i="9"/>
  <c r="K40" i="9"/>
  <c r="J40" i="9"/>
  <c r="I40" i="9"/>
  <c r="H40" i="9"/>
  <c r="G40" i="9"/>
  <c r="F40" i="9"/>
  <c r="E40" i="9"/>
  <c r="D40" i="9"/>
  <c r="C40" i="9"/>
  <c r="B40" i="9"/>
  <c r="N39" i="9"/>
  <c r="N38" i="9"/>
  <c r="N37" i="9"/>
  <c r="N36" i="9"/>
  <c r="N35" i="9"/>
  <c r="N34" i="9"/>
  <c r="N31" i="9"/>
  <c r="N30" i="9"/>
  <c r="N29" i="9"/>
  <c r="N28" i="9"/>
  <c r="N27" i="9"/>
  <c r="N26" i="9"/>
  <c r="N25" i="9"/>
  <c r="N24" i="9"/>
  <c r="N23" i="9"/>
  <c r="L20" i="9"/>
  <c r="K20" i="9"/>
  <c r="J20" i="9"/>
  <c r="I20" i="9"/>
  <c r="H20" i="9"/>
  <c r="G20" i="9"/>
  <c r="F20" i="9"/>
  <c r="E20" i="9"/>
  <c r="D20" i="9"/>
  <c r="C20" i="9"/>
  <c r="B20" i="9"/>
  <c r="N19" i="9"/>
  <c r="M14" i="9"/>
  <c r="M15" i="9" s="1"/>
  <c r="L14" i="9"/>
  <c r="L15" i="9" s="1"/>
  <c r="K14" i="9"/>
  <c r="K15" i="9" s="1"/>
  <c r="J14" i="9"/>
  <c r="J15" i="9" s="1"/>
  <c r="I14" i="9"/>
  <c r="I15" i="9" s="1"/>
  <c r="H14" i="9"/>
  <c r="H15" i="9" s="1"/>
  <c r="G14" i="9"/>
  <c r="G15" i="9" s="1"/>
  <c r="F14" i="9"/>
  <c r="F15" i="9" s="1"/>
  <c r="E14" i="9"/>
  <c r="E15" i="9" s="1"/>
  <c r="D14" i="9"/>
  <c r="D15" i="9" s="1"/>
  <c r="C14" i="9"/>
  <c r="C15" i="9" s="1"/>
  <c r="B14" i="9"/>
  <c r="N13" i="9"/>
  <c r="N12" i="9"/>
  <c r="N11" i="9"/>
  <c r="M7" i="9"/>
  <c r="L7" i="9"/>
  <c r="K7" i="9"/>
  <c r="J7" i="9"/>
  <c r="I7" i="9"/>
  <c r="H7" i="9"/>
  <c r="G7" i="9"/>
  <c r="F7" i="9"/>
  <c r="E7" i="9"/>
  <c r="D7" i="9"/>
  <c r="C7" i="9"/>
  <c r="B7" i="9"/>
  <c r="N39" i="8"/>
  <c r="N38" i="8"/>
  <c r="N37" i="8"/>
  <c r="N35" i="8"/>
  <c r="N34" i="8"/>
  <c r="N31" i="8"/>
  <c r="N30" i="8"/>
  <c r="N29" i="8"/>
  <c r="N28" i="8"/>
  <c r="N27" i="8"/>
  <c r="N26" i="8"/>
  <c r="N25" i="8"/>
  <c r="N24" i="8"/>
  <c r="N23" i="8"/>
  <c r="N19" i="8"/>
  <c r="N13" i="8"/>
  <c r="N12" i="8"/>
  <c r="L40" i="8"/>
  <c r="K40" i="8"/>
  <c r="J40" i="8"/>
  <c r="I40" i="8"/>
  <c r="H40" i="8"/>
  <c r="G40" i="8"/>
  <c r="F40" i="8"/>
  <c r="E40" i="8"/>
  <c r="D40" i="8"/>
  <c r="C40" i="8"/>
  <c r="B40" i="8"/>
  <c r="M20" i="8"/>
  <c r="L20" i="8"/>
  <c r="K20" i="8"/>
  <c r="J20" i="8"/>
  <c r="I20" i="8"/>
  <c r="H20" i="8"/>
  <c r="G20" i="8"/>
  <c r="F20" i="8"/>
  <c r="E20" i="8"/>
  <c r="D20" i="8"/>
  <c r="C20" i="8"/>
  <c r="M14" i="8"/>
  <c r="M15" i="8" s="1"/>
  <c r="L14" i="8"/>
  <c r="L15" i="8" s="1"/>
  <c r="K14" i="8"/>
  <c r="K15" i="8" s="1"/>
  <c r="J14" i="8"/>
  <c r="J15" i="8" s="1"/>
  <c r="I14" i="8"/>
  <c r="I15" i="8" s="1"/>
  <c r="H14" i="8"/>
  <c r="H15" i="8" s="1"/>
  <c r="G14" i="8"/>
  <c r="G15" i="8" s="1"/>
  <c r="F14" i="8"/>
  <c r="F15" i="8" s="1"/>
  <c r="E14" i="8"/>
  <c r="E15" i="8" s="1"/>
  <c r="D14" i="8"/>
  <c r="D15" i="8" s="1"/>
  <c r="C14" i="8"/>
  <c r="B14" i="8"/>
  <c r="M7" i="8"/>
  <c r="L7" i="8"/>
  <c r="K7" i="8"/>
  <c r="J7" i="8"/>
  <c r="I7" i="8"/>
  <c r="H7" i="8"/>
  <c r="G7" i="8"/>
  <c r="F7" i="8"/>
  <c r="E7" i="8"/>
  <c r="D7" i="8"/>
  <c r="C7" i="8"/>
  <c r="B7" i="8"/>
  <c r="O23" i="4"/>
  <c r="C32" i="4"/>
  <c r="C20" i="4"/>
  <c r="D20" i="4"/>
  <c r="F20" i="4"/>
  <c r="G20" i="4"/>
  <c r="H20" i="4"/>
  <c r="I20" i="4"/>
  <c r="J20" i="4"/>
  <c r="K20" i="4"/>
  <c r="L20" i="4"/>
  <c r="N20" i="4"/>
  <c r="N14" i="4"/>
  <c r="N15" i="4" s="1"/>
  <c r="C14" i="4"/>
  <c r="D14" i="4"/>
  <c r="E14" i="4"/>
  <c r="E15" i="4" s="1"/>
  <c r="F14" i="4"/>
  <c r="F15" i="4" s="1"/>
  <c r="G14" i="4"/>
  <c r="G15" i="4" s="1"/>
  <c r="H14" i="4"/>
  <c r="H15" i="4" s="1"/>
  <c r="I14" i="4"/>
  <c r="I15" i="4" s="1"/>
  <c r="J14" i="4"/>
  <c r="J15" i="4" s="1"/>
  <c r="K14" i="4"/>
  <c r="K15" i="4" s="1"/>
  <c r="L14" i="4"/>
  <c r="L15" i="4" s="1"/>
  <c r="M14" i="4"/>
  <c r="M15" i="4" s="1"/>
  <c r="B14" i="4"/>
  <c r="B15" i="4" s="1"/>
  <c r="N14" i="8" l="1"/>
  <c r="B15" i="8"/>
  <c r="D21" i="8" s="1"/>
  <c r="D32" i="8" s="1"/>
  <c r="M21" i="4"/>
  <c r="M32" i="4" s="1"/>
  <c r="N40" i="9"/>
  <c r="M21" i="9"/>
  <c r="M32" i="9" s="1"/>
  <c r="B17" i="4"/>
  <c r="B42" i="4" s="1"/>
  <c r="B43" i="4" s="1"/>
  <c r="D21" i="4"/>
  <c r="N40" i="8"/>
  <c r="F21" i="9"/>
  <c r="F32" i="9" s="1"/>
  <c r="N21" i="4"/>
  <c r="N32" i="4" s="1"/>
  <c r="C21" i="9"/>
  <c r="C32" i="9" s="1"/>
  <c r="B21" i="9"/>
  <c r="B32" i="9" s="1"/>
  <c r="C15" i="8"/>
  <c r="B21" i="8"/>
  <c r="B32" i="8" s="1"/>
  <c r="G21" i="9"/>
  <c r="G32" i="9" s="1"/>
  <c r="H21" i="4"/>
  <c r="H32" i="4" s="1"/>
  <c r="E21" i="9"/>
  <c r="E32" i="9" s="1"/>
  <c r="C21" i="8"/>
  <c r="D15" i="4"/>
  <c r="F21" i="4" s="1"/>
  <c r="F32" i="4" s="1"/>
  <c r="O14" i="4"/>
  <c r="N20" i="8"/>
  <c r="H21" i="9"/>
  <c r="H32" i="9" s="1"/>
  <c r="I21" i="9"/>
  <c r="I32" i="9" s="1"/>
  <c r="J21" i="9"/>
  <c r="J32" i="9" s="1"/>
  <c r="K21" i="9"/>
  <c r="K32" i="9" s="1"/>
  <c r="N20" i="9"/>
  <c r="O20" i="4"/>
  <c r="L21" i="9"/>
  <c r="L32" i="9" s="1"/>
  <c r="N14" i="9"/>
  <c r="B15" i="9"/>
  <c r="H21" i="8"/>
  <c r="H32" i="8" s="1"/>
  <c r="I21" i="8"/>
  <c r="I32" i="8" s="1"/>
  <c r="F21" i="8"/>
  <c r="F32" i="8" s="1"/>
  <c r="K21" i="8"/>
  <c r="K32" i="8" s="1"/>
  <c r="J21" i="8"/>
  <c r="J32" i="8" s="1"/>
  <c r="L21" i="8"/>
  <c r="L32" i="8" s="1"/>
  <c r="M21" i="8"/>
  <c r="M32" i="8" s="1"/>
  <c r="G21" i="8"/>
  <c r="G32" i="8" s="1"/>
  <c r="G21" i="4"/>
  <c r="G32" i="4" s="1"/>
  <c r="K21" i="4"/>
  <c r="K32" i="4" s="1"/>
  <c r="L21" i="4"/>
  <c r="L32" i="4" s="1"/>
  <c r="J21" i="4"/>
  <c r="J32" i="4" s="1"/>
  <c r="I21" i="4"/>
  <c r="I32" i="4" s="1"/>
  <c r="C15" i="4"/>
  <c r="N15" i="8" l="1"/>
  <c r="E21" i="8"/>
  <c r="E32" i="8" s="1"/>
  <c r="E21" i="4"/>
  <c r="E32" i="4" s="1"/>
  <c r="O15" i="4"/>
  <c r="D21" i="9"/>
  <c r="N15" i="9"/>
  <c r="C32" i="8"/>
  <c r="D32" i="4"/>
  <c r="N21" i="8" l="1"/>
  <c r="N32" i="8"/>
  <c r="O21" i="4"/>
  <c r="O32" i="4"/>
  <c r="D32" i="9"/>
  <c r="N21" i="9"/>
  <c r="M6" i="3"/>
  <c r="K6" i="3"/>
  <c r="I6" i="3"/>
  <c r="G6" i="3"/>
  <c r="E6" i="3"/>
  <c r="B14" i="3"/>
  <c r="O25" i="4"/>
  <c r="N32" i="9" l="1"/>
  <c r="C6" i="3"/>
  <c r="C17" i="3"/>
  <c r="C16" i="3"/>
  <c r="C6" i="2" l="1"/>
  <c r="B38" i="1"/>
  <c r="M7" i="4"/>
  <c r="M10" i="3"/>
  <c r="L14" i="3"/>
  <c r="H14" i="3"/>
  <c r="F14" i="3"/>
  <c r="D14" i="3"/>
  <c r="E16" i="3" l="1"/>
  <c r="E17" i="3"/>
  <c r="I16" i="3"/>
  <c r="I17" i="3"/>
  <c r="G17" i="3"/>
  <c r="G16" i="3"/>
  <c r="M17" i="3"/>
  <c r="M16" i="3"/>
  <c r="C40" i="4" l="1"/>
  <c r="D40" i="4"/>
  <c r="F40" i="4"/>
  <c r="G40" i="4"/>
  <c r="H40" i="4"/>
  <c r="I40" i="4"/>
  <c r="J40" i="4"/>
  <c r="K40" i="4"/>
  <c r="L40" i="4"/>
  <c r="M40" i="4"/>
  <c r="N40" i="4"/>
  <c r="B40" i="4"/>
  <c r="O34" i="4"/>
  <c r="O35" i="4"/>
  <c r="O36" i="4"/>
  <c r="O37" i="4"/>
  <c r="O38" i="4"/>
  <c r="O39" i="4"/>
  <c r="C9" i="4" l="1"/>
  <c r="O40" i="4"/>
  <c r="C7" i="4"/>
  <c r="D7" i="4"/>
  <c r="C17" i="2" l="1"/>
  <c r="N7" i="4" l="1"/>
  <c r="L7" i="4"/>
  <c r="K7" i="4"/>
  <c r="J7" i="4"/>
  <c r="I7" i="4"/>
  <c r="H7" i="4"/>
  <c r="G7" i="4"/>
  <c r="F7" i="4"/>
  <c r="E7" i="4"/>
  <c r="C31" i="2"/>
  <c r="C30" i="2"/>
  <c r="B49" i="1"/>
  <c r="C11" i="2"/>
  <c r="C9" i="2"/>
  <c r="C7" i="2"/>
  <c r="C15" i="2"/>
  <c r="C16" i="2"/>
  <c r="C18" i="2"/>
  <c r="C19" i="2"/>
  <c r="C20" i="2"/>
  <c r="C21" i="2"/>
  <c r="C22" i="2"/>
  <c r="C23" i="2"/>
  <c r="C24" i="2"/>
  <c r="C25" i="2"/>
  <c r="C26" i="2"/>
  <c r="C27" i="2"/>
  <c r="C28" i="2"/>
  <c r="C29" i="2"/>
  <c r="C32" i="2"/>
  <c r="C14" i="2"/>
  <c r="B35" i="1"/>
  <c r="B51" i="1" l="1"/>
  <c r="C51" i="1" s="1"/>
  <c r="C33" i="2"/>
  <c r="B8" i="2" l="1"/>
  <c r="B33" i="2"/>
  <c r="O24" i="4"/>
  <c r="O26" i="4"/>
  <c r="O27" i="4"/>
  <c r="O28" i="4"/>
  <c r="O29" i="4"/>
  <c r="O30" i="4"/>
  <c r="O31" i="4"/>
  <c r="C10" i="3" l="1"/>
  <c r="C9" i="3"/>
  <c r="C8" i="3"/>
  <c r="C11" i="3"/>
  <c r="C13" i="3"/>
  <c r="C12" i="3"/>
  <c r="C17" i="4"/>
  <c r="C42" i="4" s="1"/>
  <c r="I12" i="3"/>
  <c r="I11" i="3"/>
  <c r="I10" i="3"/>
  <c r="I9" i="3"/>
  <c r="I8" i="3"/>
  <c r="I13" i="3"/>
  <c r="B10" i="2"/>
  <c r="C10" i="2" s="1"/>
  <c r="C12" i="2" s="1"/>
  <c r="C8" i="2"/>
  <c r="C43" i="4" l="1"/>
  <c r="C15" i="3"/>
  <c r="I15" i="3"/>
  <c r="B12" i="2"/>
  <c r="B35" i="2" s="1"/>
  <c r="B36" i="2" s="1"/>
  <c r="D9" i="4"/>
  <c r="C35" i="2"/>
  <c r="C36" i="2" l="1"/>
  <c r="C37" i="2"/>
  <c r="B39" i="2"/>
  <c r="B40" i="2" s="1"/>
  <c r="B41" i="2" s="1"/>
  <c r="B42" i="2" s="1"/>
  <c r="B37" i="2"/>
  <c r="B48" i="2" l="1"/>
  <c r="C39" i="2"/>
  <c r="C40" i="2" s="1"/>
  <c r="C41" i="2" s="1"/>
  <c r="C42" i="2" s="1"/>
  <c r="B51" i="2"/>
  <c r="C51" i="2" s="1"/>
  <c r="D51" i="2" s="1"/>
  <c r="B52" i="2"/>
  <c r="C52" i="2" s="1"/>
  <c r="D52" i="2" s="1"/>
  <c r="B56" i="2"/>
  <c r="C56" i="2" s="1"/>
  <c r="D56" i="2" s="1"/>
  <c r="B50" i="2" l="1"/>
  <c r="C50" i="2" s="1"/>
  <c r="D50" i="2" s="1"/>
  <c r="D17" i="4"/>
  <c r="B55" i="2"/>
  <c r="C55" i="2" s="1"/>
  <c r="D55" i="2" s="1"/>
  <c r="B53" i="2"/>
  <c r="C53" i="2" s="1"/>
  <c r="D53" i="2" s="1"/>
  <c r="D42" i="4" l="1"/>
  <c r="D43" i="4" l="1"/>
  <c r="E9" i="4"/>
  <c r="E17" i="4" s="1"/>
  <c r="E42" i="4" s="1"/>
  <c r="E43" i="4" s="1"/>
  <c r="F9" i="4" l="1"/>
  <c r="F17" i="4" s="1"/>
  <c r="F42" i="4" s="1"/>
  <c r="F43" i="4" l="1"/>
  <c r="G9" i="4"/>
  <c r="G17" i="4" s="1"/>
  <c r="G42" i="4" s="1"/>
  <c r="G43" i="4" l="1"/>
  <c r="H9" i="4"/>
  <c r="H17" i="4" s="1"/>
  <c r="H42" i="4" l="1"/>
  <c r="H43" i="4" l="1"/>
  <c r="I9" i="4"/>
  <c r="I17" i="4" s="1"/>
  <c r="I42" i="4" l="1"/>
  <c r="I43" i="4" l="1"/>
  <c r="J9" i="4"/>
  <c r="J17" i="4" s="1"/>
  <c r="J42" i="4" l="1"/>
  <c r="J43" i="4" l="1"/>
  <c r="K9" i="4"/>
  <c r="K17" i="4" s="1"/>
  <c r="K42" i="4" l="1"/>
  <c r="B22" i="3"/>
  <c r="B47" i="2"/>
  <c r="B49" i="2" s="1"/>
  <c r="K43" i="4" l="1"/>
  <c r="L9" i="4"/>
  <c r="L17" i="4" s="1"/>
  <c r="C49" i="2"/>
  <c r="B54" i="2"/>
  <c r="B57" i="2"/>
  <c r="B59" i="2" s="1"/>
  <c r="B61" i="2" s="1"/>
  <c r="C22" i="3"/>
  <c r="L42" i="4" l="1"/>
  <c r="C48" i="2"/>
  <c r="C47" i="2" s="1"/>
  <c r="D49" i="2"/>
  <c r="C54" i="2"/>
  <c r="C57" i="2" s="1"/>
  <c r="C59" i="2" s="1"/>
  <c r="C61" i="2" s="1"/>
  <c r="L43" i="4" l="1"/>
  <c r="M9" i="4"/>
  <c r="M17" i="4" s="1"/>
  <c r="D54" i="2"/>
  <c r="D57" i="2" s="1"/>
  <c r="D59" i="2" s="1"/>
  <c r="D61" i="2" s="1"/>
  <c r="D48" i="2"/>
  <c r="D47" i="2" s="1"/>
  <c r="M42" i="4" l="1"/>
  <c r="E9" i="3"/>
  <c r="E11" i="3"/>
  <c r="E10" i="3"/>
  <c r="E12" i="3"/>
  <c r="E13" i="3"/>
  <c r="E8" i="3"/>
  <c r="G12" i="3"/>
  <c r="G8" i="3"/>
  <c r="G11" i="3"/>
  <c r="G9" i="3"/>
  <c r="G10" i="3"/>
  <c r="G13" i="3"/>
  <c r="M43" i="4" l="1"/>
  <c r="N9" i="4"/>
  <c r="N17" i="4" s="1"/>
  <c r="G15" i="3"/>
  <c r="E15" i="3"/>
  <c r="K13" i="3"/>
  <c r="K10" i="3"/>
  <c r="N10" i="3" s="1"/>
  <c r="K8" i="3"/>
  <c r="K9" i="3"/>
  <c r="K11" i="3"/>
  <c r="J14" i="3"/>
  <c r="K12" i="3"/>
  <c r="M12" i="3"/>
  <c r="M13" i="3"/>
  <c r="M8" i="3"/>
  <c r="M11" i="3"/>
  <c r="M9" i="3"/>
  <c r="N42" i="4" l="1"/>
  <c r="N43" i="4" s="1"/>
  <c r="O43" i="4" s="1"/>
  <c r="N14" i="3"/>
  <c r="K16" i="3"/>
  <c r="K17" i="3"/>
  <c r="N12" i="3"/>
  <c r="N8" i="3"/>
  <c r="N9" i="3"/>
  <c r="N11" i="3"/>
  <c r="N13" i="3"/>
  <c r="K15" i="3"/>
  <c r="M15" i="3"/>
  <c r="B9" i="8" l="1"/>
  <c r="B17" i="8" s="1"/>
  <c r="B42" i="8" s="1"/>
  <c r="N15" i="3"/>
  <c r="B21" i="3" s="1"/>
  <c r="N17" i="3"/>
  <c r="B20" i="3" s="1"/>
  <c r="C20" i="3" s="1"/>
  <c r="N16" i="3"/>
  <c r="B19" i="3" s="1"/>
  <c r="C19" i="3" s="1"/>
  <c r="B43" i="8" l="1" a="1"/>
  <c r="B43" i="8" s="1"/>
  <c r="C9" i="8"/>
  <c r="C17" i="8" s="1"/>
  <c r="C42" i="8" s="1"/>
  <c r="B23" i="3"/>
  <c r="B24" i="3" s="1"/>
  <c r="C21" i="3"/>
  <c r="C43" i="8" l="1"/>
  <c r="D9" i="8"/>
  <c r="D17" i="8" l="1"/>
  <c r="D42" i="8" l="1"/>
  <c r="E9" i="8" l="1"/>
  <c r="D43" i="8"/>
  <c r="E17" i="8"/>
  <c r="E42" i="8" l="1"/>
  <c r="F9" i="8" l="1"/>
  <c r="F17" i="8" s="1"/>
  <c r="E43" i="8"/>
  <c r="F42" i="8" l="1"/>
  <c r="G9" i="8" l="1"/>
  <c r="F43" i="8"/>
  <c r="G17" i="8"/>
  <c r="G42" i="8" l="1"/>
  <c r="G43" i="8" l="1"/>
  <c r="H9" i="8"/>
  <c r="H17" i="8" s="1"/>
  <c r="H42" i="8" s="1"/>
  <c r="I9" i="8" l="1"/>
  <c r="H43" i="8"/>
  <c r="I17" i="8"/>
  <c r="I42" i="8" l="1"/>
  <c r="I43" i="8" l="1"/>
  <c r="J9" i="8"/>
  <c r="J17" i="8" s="1"/>
  <c r="J42" i="8" s="1"/>
  <c r="J43" i="8" l="1"/>
  <c r="K9" i="8"/>
  <c r="K17" i="8" s="1"/>
  <c r="K42" i="8" s="1"/>
  <c r="K43" i="8" l="1"/>
  <c r="L9" i="8"/>
  <c r="L17" i="8" s="1"/>
  <c r="L42" i="8" s="1"/>
  <c r="L43" i="8" l="1"/>
  <c r="M9" i="8"/>
  <c r="M17" i="8" s="1"/>
  <c r="M42" i="8" s="1"/>
  <c r="B9" i="9" s="1"/>
  <c r="B17" i="9" l="1"/>
  <c r="B42" i="9" s="1"/>
  <c r="M43" i="8"/>
  <c r="N43" i="8" s="1"/>
  <c r="B43" i="9" l="1" a="1"/>
  <c r="B43" i="9" s="1"/>
  <c r="C9" i="9"/>
  <c r="C17" i="9" s="1"/>
  <c r="C42" i="9" s="1"/>
  <c r="C43" i="9" l="1"/>
  <c r="D9" i="9"/>
  <c r="D17" i="9" s="1"/>
  <c r="D42" i="9" l="1"/>
  <c r="D43" i="9" l="1"/>
  <c r="E9" i="9"/>
  <c r="E17" i="9" s="1"/>
  <c r="E42" i="9" s="1"/>
  <c r="E43" i="9" l="1"/>
  <c r="F9" i="9"/>
  <c r="F17" i="9" s="1"/>
  <c r="F42" i="9" s="1"/>
  <c r="F43" i="9" s="1"/>
  <c r="G9" i="9" l="1"/>
  <c r="G17" i="9" s="1"/>
  <c r="G42" i="9" l="1"/>
  <c r="G43" i="9" l="1"/>
  <c r="H9" i="9"/>
  <c r="H17" i="9" s="1"/>
  <c r="H42" i="9" s="1"/>
  <c r="H43" i="9" l="1"/>
  <c r="I9" i="9"/>
  <c r="I17" i="9" s="1"/>
  <c r="I42" i="9" l="1"/>
  <c r="I43" i="9" l="1"/>
  <c r="J9" i="9"/>
  <c r="J17" i="9" s="1"/>
  <c r="J42" i="9" l="1"/>
  <c r="J43" i="9" l="1"/>
  <c r="K9" i="9"/>
  <c r="K17" i="9"/>
  <c r="K42" i="9" l="1"/>
  <c r="K43" i="9" l="1"/>
  <c r="L9" i="9"/>
  <c r="L17" i="9" s="1"/>
  <c r="L42" i="9" s="1"/>
  <c r="L43" i="9" l="1"/>
  <c r="M9" i="9"/>
  <c r="M17" i="9" s="1"/>
  <c r="M42" i="9" s="1"/>
  <c r="M43" i="9" s="1"/>
  <c r="N4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13" authorId="0" shapeId="0" xr:uid="{BFD33933-7894-DD4B-B5E4-343613639E36}">
      <text>
        <r>
          <rPr>
            <b/>
            <sz val="12"/>
            <color rgb="FF000000"/>
            <rFont val="Arial"/>
            <family val="34"/>
          </rPr>
          <t xml:space="preserve">Yrityksen perustamismenot: </t>
        </r>
        <r>
          <rPr>
            <sz val="12"/>
            <color rgb="FF000000"/>
            <rFont val="Arial"/>
            <family val="34"/>
          </rPr>
          <t>Toiminimen rekisteröinti maksaa 70 €, osakeyhtiön rekisteröinti maksaa 280 €. Perustamismenoihin voidaan sisällyttää myös esim. osakassopimuksen laatimisesta tai toimialakohtaisista luvista aiheutuvia kuluja.</t>
        </r>
      </text>
    </comment>
    <comment ref="A15" authorId="0" shapeId="0" xr:uid="{6E128261-8775-4743-8D38-1A359F84D75B}">
      <text>
        <r>
          <rPr>
            <b/>
            <sz val="12"/>
            <color rgb="FF000000"/>
            <rFont val="Arial"/>
            <family val="34"/>
          </rPr>
          <t xml:space="preserve">Valmiina olevat työvälineet: </t>
        </r>
        <r>
          <rPr>
            <sz val="12"/>
            <color rgb="FF000000"/>
            <rFont val="Arial"/>
            <family val="34"/>
          </rPr>
          <t>Laita tähän jo mahdollisesti liiketoimintaasi varten valmiina olevien työvälineiden arvioitu arvo. Laskelma siirtää automaattisesti niiden arvon myös "Rahan lähteet"-taulukkoon "Omat työvälineet" kohtaan.</t>
        </r>
      </text>
    </comment>
    <comment ref="A26" authorId="0" shapeId="0" xr:uid="{357292F4-8B8C-F843-AEFE-58722A09AAFC}">
      <text>
        <r>
          <rPr>
            <b/>
            <sz val="12"/>
            <color rgb="FF000000"/>
            <rFont val="Arial"/>
            <family val="34"/>
          </rPr>
          <t xml:space="preserve">Vuokra tiloista / takuuvuokrat: </t>
        </r>
        <r>
          <rPr>
            <sz val="12"/>
            <color rgb="FF000000"/>
            <rFont val="Arial"/>
            <family val="34"/>
          </rPr>
          <t>Jos arvioit kestävän 3 kuukautta ennen kuin pystyt tulorahoituksella (asiakkailta saaduilla rahoilla) maksamaan vuokran ja joudut maksamaan 3 kuukautta takuuvuokraa, tulee sinun syöttää tähän 6 x kuukausivuokrasi.</t>
        </r>
      </text>
    </comment>
    <comment ref="A28" authorId="0" shapeId="0" xr:uid="{546CCFE8-B6B5-2947-A7F5-B62BFB0ECBB4}">
      <text>
        <r>
          <rPr>
            <b/>
            <sz val="12"/>
            <color rgb="FF000000"/>
            <rFont val="Arial"/>
            <family val="34"/>
          </rPr>
          <t xml:space="preserve">Yrittäjän oma toimeentulo: </t>
        </r>
        <r>
          <rPr>
            <sz val="12"/>
            <color rgb="FF000000"/>
            <rFont val="Arial"/>
            <family val="34"/>
          </rPr>
          <t>Paljonko tarvitset kuukaudessa omiin pakollisiin henkilökohtaisiin menoihisi? Kerro tämä luku sillä määrällä kuukausia, kunnes toiminta alkaa arviosi mukaan tuottamaan sinulle toimeentuloa.</t>
        </r>
      </text>
    </comment>
    <comment ref="A51" authorId="0" shapeId="0" xr:uid="{9B194AD3-1382-D34E-B963-01F730557DBD}">
      <text>
        <r>
          <rPr>
            <b/>
            <sz val="12"/>
            <color rgb="FF000000"/>
            <rFont val="Arial"/>
            <family val="34"/>
          </rPr>
          <t xml:space="preserve">Rahan lähteiden ja rahan tarpeiden erotus: </t>
        </r>
        <r>
          <rPr>
            <sz val="12"/>
            <color rgb="FF000000"/>
            <rFont val="Arial"/>
            <family val="34"/>
          </rPr>
          <t>Rahoituslaskelma on tehty oikein, kun rahan tarve on yhtä suuri kuin rahan lähteet. Jos saat miinus-merkkisen tuloksen erotukseksi, sinun täytyy lisätä rahan lähteiden summaa niin, että se vastaa rahan tarvetta.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6" authorId="0" shapeId="0" xr:uid="{8F83E834-53FD-5344-944D-A81C0170F9C6}">
      <text>
        <r>
          <rPr>
            <b/>
            <sz val="12"/>
            <color rgb="FF000000"/>
            <rFont val="Arial"/>
            <family val="34"/>
          </rPr>
          <t xml:space="preserve">Toiminimiyrittäjän nettoansio tai osakeyhtiön tulos: </t>
        </r>
        <r>
          <rPr>
            <sz val="12"/>
            <color rgb="FF000000"/>
            <rFont val="Arial"/>
            <family val="34"/>
          </rPr>
          <t>Tavoitetulos tarkoittaa yrittäjän oman yritystoiminnan nettotulotarvetta. Saat sen, kun arvioit kuinka paljon rahaa tarvitset kuukaudessa henkilökohtaisiin menoihin (asuminen, ruoka, vaatteet yms.). Tavoitetulosta voit myös arvioida työsuhteessa saamasi nettopalkan avulla.</t>
        </r>
      </text>
    </comment>
    <comment ref="A8" authorId="0" shapeId="0" xr:uid="{40072EB0-A3EB-AE46-A532-9601AAD39EA0}">
      <text>
        <r>
          <rPr>
            <b/>
            <sz val="12"/>
            <color rgb="FF000000"/>
            <rFont val="Arial"/>
            <family val="34"/>
          </rPr>
          <t xml:space="preserve">Nettotulot: </t>
        </r>
        <r>
          <rPr>
            <sz val="12"/>
            <color rgb="FF000000"/>
            <rFont val="Arial"/>
            <family val="34"/>
          </rPr>
          <t>Tavoitetulokseen lisätään yritystoiminnan lainojen lyhennys, jolloin saadaan nettotulot. Kun nettotuloihin lisätään verot, saadaan rahoitustarve. Kun rahoitustarpeeseen lisätään yritystoiminnan lainojen korot, saadaan summa, joka yritystoiminnalla tulee ansaita elääkseen ja hoitaakseen yritystoiminnan lainat.</t>
        </r>
      </text>
    </comment>
    <comment ref="A9" authorId="0" shapeId="0" xr:uid="{5FE58212-3253-B046-96F0-7C333C4E1B6C}">
      <text>
        <r>
          <rPr>
            <b/>
            <sz val="12"/>
            <color rgb="FF000000"/>
            <rFont val="Arial"/>
            <family val="34"/>
          </rPr>
          <t>Verot tulosta:</t>
        </r>
        <r>
          <rPr>
            <sz val="12"/>
            <color rgb="FF000000"/>
            <rFont val="Arial"/>
            <family val="34"/>
          </rPr>
          <t xml:space="preserve"> Esim. Toiminimi-yrittäjä, joka tienaa kuukaudessa yrittäjänä 1800 € netto, maksaa veroja kuukaudessa noin 90 €. Laskettu niin, ettei ole muita tuloja, kuuluu kirkkoon (ev.lut) ja YEL maksetaan vähimmäistyötulon mukaan. Katso tarkemmin oma veroprosenttisi verohallinnon sivujen veroprosenttilaskurilla. Osakeyhtiön yhteisövero on aina 20%, ja tämän lisäksi yrittäjä maksaa itse verot ansiotulostaan, eli palkastaan. </t>
        </r>
      </text>
    </comment>
    <comment ref="A13" authorId="0" shapeId="0" xr:uid="{4A33106E-6C11-EE41-A6EB-F69C27FCBFAB}">
      <text>
        <r>
          <rPr>
            <b/>
            <sz val="12"/>
            <color rgb="FF000000"/>
            <rFont val="Arial"/>
            <family val="34"/>
          </rPr>
          <t xml:space="preserve">Kiinteät kulut: </t>
        </r>
        <r>
          <rPr>
            <sz val="12"/>
            <color rgb="FF000000"/>
            <rFont val="Arial"/>
            <family val="34"/>
          </rPr>
          <t>Kiinteät kulut ovat kuluja, jotka eivät riipu yrityksen laskutuksen suuruudesta vaan jatkuvat kuukaudesta toiseen melko samansuuruisina. Kiinteitä kuluja ovat esim. muiden työtekijöiden palkat, vakuutukset, vuokrat, toimistokulut, sähkö/vesi jne.</t>
        </r>
      </text>
    </comment>
    <comment ref="A14" authorId="0" shapeId="0" xr:uid="{E40D53D9-DABB-404A-8C6B-A6756D2A7988}">
      <text>
        <r>
          <rPr>
            <b/>
            <sz val="12"/>
            <color rgb="FF000000"/>
            <rFont val="Arial"/>
            <family val="34"/>
          </rPr>
          <t xml:space="preserve">Yrittäjän eläkevakuutus: </t>
        </r>
        <r>
          <rPr>
            <sz val="12"/>
            <color rgb="FF000000"/>
            <rFont val="Arial"/>
            <family val="34"/>
          </rPr>
          <t>Yrittäjän eläkevakuutusmaksu (YEL) on pakollinen ja arvioidaan yrittäjän omasta vuosiansiotulosta. Uusi yrittäjä saa 22 %:n alennuksen 48 ensimmäiseltä kuukaudelta. Esimerkiksi 13 076 €:n vuosityötulosta otettuna alennettu YEL-kuukausimaksu alle 53-vuotiaalle on 205 €/kk. Työntekijän eläkevakuutus (TyEL) on pakollinen silloin, kun yritykseen otetaan palkattu työntekijä.</t>
        </r>
      </text>
    </comment>
    <comment ref="A35" authorId="0" shapeId="0" xr:uid="{A2D46BA1-6B33-9B4E-AB19-09AB5D983417}">
      <text>
        <r>
          <rPr>
            <b/>
            <sz val="12"/>
            <color rgb="FF000000"/>
            <rFont val="Arial"/>
            <family val="34"/>
          </rPr>
          <t xml:space="preserve">Myyntikatetarve: </t>
        </r>
        <r>
          <rPr>
            <sz val="12"/>
            <color rgb="FF000000"/>
            <rFont val="Arial"/>
            <family val="34"/>
          </rPr>
          <t xml:space="preserve">Laskemalla yhteen yritystoiminnan </t>
        </r>
        <r>
          <rPr>
            <sz val="12"/>
            <color rgb="FF000000"/>
            <rFont val="Calibri"/>
            <family val="2"/>
          </rPr>
          <t>rahoitustarve, yrityslainojen korot ja kiinteät kulut</t>
        </r>
        <r>
          <rPr>
            <sz val="12"/>
            <color rgb="FF000000"/>
            <rFont val="Arial"/>
            <family val="34"/>
          </rPr>
          <t>, saadaan myyntikatetarve.</t>
        </r>
      </text>
    </comment>
    <comment ref="A36" authorId="0" shapeId="0" xr:uid="{0F28E8F9-11F4-5D4B-853F-D48E10484912}">
      <text>
        <r>
          <rPr>
            <b/>
            <sz val="12"/>
            <color rgb="FF000000"/>
            <rFont val="Arial"/>
            <family val="34"/>
          </rPr>
          <t xml:space="preserve">Arvonlisävero: </t>
        </r>
        <r>
          <rPr>
            <sz val="12"/>
            <color rgb="FF000000"/>
            <rFont val="Arial"/>
            <family val="34"/>
          </rPr>
          <t>Arvonlisävero riippuu jossain määrin myytävistä tuotteista tai palveluista.</t>
        </r>
      </text>
    </comment>
    <comment ref="A37" authorId="0" shapeId="0" xr:uid="{D8451732-BFDD-E044-A8F7-A003F01CBCBC}">
      <text>
        <r>
          <rPr>
            <b/>
            <sz val="12"/>
            <color rgb="FF000000"/>
            <rFont val="Arial"/>
            <family val="34"/>
          </rPr>
          <t>Kokonaismyynti/-laskutus:</t>
        </r>
        <r>
          <rPr>
            <sz val="12"/>
            <color rgb="FF000000"/>
            <rFont val="Arial"/>
            <family val="34"/>
          </rPr>
          <t xml:space="preserve"> Kokonaismyynti/-laskutus on liikevaihdon ja arvonlisäveron summa.</t>
        </r>
      </text>
    </comment>
    <comment ref="A38" authorId="0" shapeId="0" xr:uid="{D9F20C8B-DF9C-0840-8120-B2F22796B292}">
      <text>
        <r>
          <rPr>
            <b/>
            <sz val="12"/>
            <color rgb="FF000000"/>
            <rFont val="Arial"/>
            <family val="34"/>
          </rPr>
          <t xml:space="preserve">Myyntikatetarve (minimi): </t>
        </r>
        <r>
          <rPr>
            <sz val="12"/>
            <color rgb="FF000000"/>
            <rFont val="Arial"/>
            <family val="34"/>
          </rPr>
          <t>Tämän avulla voit laskea yrityksen kuukausi-, päivä-, ja tuntilaskutustarpeen. Ota huomioon että yritys ei aina pysty laskuttamaan täysiä kuukausia, päiviä tai tunteja. Arvioi kuinka monta päivää tai tuntia yrityksesi pystyy laskuttamaan asiakkailtaan kuukaudessa.</t>
        </r>
      </text>
    </comment>
    <comment ref="A40" authorId="0" shapeId="0" xr:uid="{71ACEA1A-22DC-BC48-B281-55E3F2E0EB00}">
      <text>
        <r>
          <rPr>
            <b/>
            <sz val="12"/>
            <color rgb="FF000000"/>
            <rFont val="Arial"/>
            <family val="34"/>
          </rPr>
          <t xml:space="preserve">Kuukausilaskutustavoite: </t>
        </r>
        <r>
          <rPr>
            <sz val="12"/>
            <color rgb="FF000000"/>
            <rFont val="Arial"/>
            <family val="34"/>
          </rPr>
          <t>Kuukausilaskutustavoite siirtyy automaattisesti kk-myyntilaskelman "myynnin yhteenveto"-taulukkoon.</t>
        </r>
      </text>
    </comment>
    <comment ref="A43" authorId="0" shapeId="0" xr:uid="{63E0639B-D95F-1F4B-8583-84EB0F10329E}">
      <text>
        <r>
          <rPr>
            <b/>
            <sz val="12"/>
            <color rgb="FF000000"/>
            <rFont val="Arial"/>
            <family val="34"/>
          </rPr>
          <t xml:space="preserve">Kolmen vuoden kasvuprosentti: </t>
        </r>
        <r>
          <rPr>
            <sz val="12"/>
            <color rgb="FF000000"/>
            <rFont val="Arial"/>
            <family val="34"/>
          </rPr>
          <t>Voit muuttaa tulojen ja menojen kasvuprosenttilukuja.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2" authorId="0" shapeId="0" xr:uid="{64A76B62-9FC6-9B47-A8AA-CF4EC2B799E1}">
      <text>
        <r>
          <rPr>
            <b/>
            <sz val="12"/>
            <color rgb="FF000000"/>
            <rFont val="Arial"/>
            <family val="34"/>
          </rPr>
          <t xml:space="preserve">Kannattavuuslaskelman myyntikatetarve: </t>
        </r>
        <r>
          <rPr>
            <sz val="12"/>
            <color rgb="FF000000"/>
            <rFont val="Arial"/>
            <family val="34"/>
          </rPr>
          <t>"Kuukaudessa"-luku siirtynyt automaattisesti "Kannattavuuslaskelma"-välilehdeltä.</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21" authorId="0" shapeId="0" xr:uid="{BF9B54E1-7967-AC41-9390-C426FAF24D45}">
      <text>
        <r>
          <rPr>
            <b/>
            <sz val="12"/>
            <color rgb="FF000000"/>
            <rFont val="Arial"/>
            <family val="34"/>
          </rPr>
          <t xml:space="preserve">Arvonlisävero:
</t>
        </r>
        <r>
          <rPr>
            <b/>
            <sz val="12"/>
            <color rgb="FF000000"/>
            <rFont val="Arial"/>
            <family val="34"/>
          </rPr>
          <t xml:space="preserve">Negatiivinen luku = alv palautus verottajalta.
</t>
        </r>
        <r>
          <rPr>
            <b/>
            <sz val="12"/>
            <color rgb="FF000000"/>
            <rFont val="Arial"/>
            <family val="34"/>
          </rPr>
          <t xml:space="preserve">Positiivinen luku = maksettava alv verottajalle.
</t>
        </r>
        <r>
          <rPr>
            <sz val="12"/>
            <color rgb="FF000000"/>
            <rFont val="Arial"/>
            <family val="34"/>
          </rPr>
          <t>Arvonlisäveron (alv) ilmoitus- ja maksupäivä on 12. päivä sitä kuuta, joka on toinen kuukausi verokauden päättymisen jälkeen. Eli esim. tammikuun alv maksetaan maaliskuun 12.päivään mennessä. HUOM! Arvonlisäveron osalta tämä laskelma on yksinkertaistettu. Myös muiden tulonhankkimiskulujen (kuin ostojen) alv:t voi vähentää arvonlisäverotuksessa.</t>
        </r>
      </text>
    </comment>
    <comment ref="N42" authorId="0" shapeId="0" xr:uid="{937EFA96-BBD6-634E-80FA-CFA4AC037CC1}">
      <text>
        <r>
          <rPr>
            <b/>
            <sz val="12"/>
            <color rgb="FF000000"/>
            <rFont val="Arial"/>
            <family val="34"/>
          </rPr>
          <t>Maksuvalmius 12. jakso:</t>
        </r>
        <r>
          <rPr>
            <sz val="12"/>
            <color rgb="FF000000"/>
            <rFont val="Arial"/>
            <family val="34"/>
          </rPr>
          <t xml:space="preserve"> Siirtyy automaattisesti toisen vuoden alkukassa -taulukon 1. jaksoon.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9" authorId="0" shapeId="0" xr:uid="{3E7D9BB1-3576-0C47-848D-6A5C8E1C1A04}">
      <text>
        <r>
          <rPr>
            <b/>
            <sz val="12"/>
            <color rgb="FF000000"/>
            <rFont val="Arial"/>
            <family val="34"/>
          </rPr>
          <t>Viime jakson masuvalmius:</t>
        </r>
        <r>
          <rPr>
            <sz val="12"/>
            <color rgb="FF000000"/>
            <rFont val="Arial"/>
            <family val="34"/>
          </rPr>
          <t xml:space="preserve"> Ensimmäisen jakson luku siirtynyt automaattisesti ensimmäisen vuoden maksuvalmius -taulukon 12. jaksosta.</t>
        </r>
      </text>
    </comment>
    <comment ref="A21" authorId="0" shapeId="0" xr:uid="{083FF6AC-3B59-F14A-8C7A-9FD26007A62E}">
      <text>
        <r>
          <rPr>
            <b/>
            <sz val="12"/>
            <color rgb="FF000000"/>
            <rFont val="Arial"/>
            <family val="34"/>
          </rPr>
          <t>Arvonlisävero:</t>
        </r>
        <r>
          <rPr>
            <b/>
            <sz val="12"/>
            <color rgb="FF000000"/>
            <rFont val="Arial"/>
            <family val="34"/>
          </rPr>
          <t xml:space="preserve">
</t>
        </r>
        <r>
          <rPr>
            <b/>
            <sz val="12"/>
            <color rgb="FF000000"/>
            <rFont val="Arial"/>
            <family val="34"/>
          </rPr>
          <t>Negatiivinen luku = alv palautus verottajalta.</t>
        </r>
        <r>
          <rPr>
            <b/>
            <sz val="12"/>
            <color rgb="FF000000"/>
            <rFont val="Arial"/>
            <family val="34"/>
          </rPr>
          <t xml:space="preserve">
</t>
        </r>
        <r>
          <rPr>
            <b/>
            <sz val="12"/>
            <color rgb="FF000000"/>
            <rFont val="Arial"/>
            <family val="34"/>
          </rPr>
          <t>Positiivinen luku = maksettava alv verottajalle.</t>
        </r>
        <r>
          <rPr>
            <b/>
            <sz val="12"/>
            <color rgb="FF000000"/>
            <rFont val="Arial"/>
            <family val="34"/>
          </rPr>
          <t xml:space="preserve">
</t>
        </r>
        <r>
          <rPr>
            <sz val="12"/>
            <color rgb="FF000000"/>
            <rFont val="Arial"/>
            <family val="34"/>
          </rPr>
          <t>Arvonlisäveron (alv) ilmoitus- ja maksupäivä on 12. päivä sitä kuuta, joka on toinen kuukausi verokauden päättymisen jälkeen. Eli esim. tammikuun alv maksetaan maaliskuun 12.päivään mennessä. HUOM! Arvonlisäveron osalta tämä laskelma on yksinkertaistettu. Myös muiden tulonhankkimiskulujen (kuin ostojen) alv:t voi vähentää arvonlisäverotuksessa.</t>
        </r>
      </text>
    </comment>
    <comment ref="B21" authorId="0" shapeId="0" xr:uid="{008A3B0B-ED1C-D548-B03B-9B0BB9BCC424}">
      <text>
        <r>
          <rPr>
            <b/>
            <sz val="12"/>
            <color rgb="FF000000"/>
            <rFont val="Arial"/>
            <family val="34"/>
          </rPr>
          <t xml:space="preserve">Maksettava arvonlisävero: </t>
        </r>
        <r>
          <rPr>
            <sz val="12"/>
            <color rgb="FF000000"/>
            <rFont val="Arial"/>
            <family val="34"/>
          </rPr>
          <t>Ensimmäisen jakson luku siirtynyt automaattisesti ensimmäisen vuoden toiseksi viimeiseltä kaudelta.</t>
        </r>
      </text>
    </comment>
    <comment ref="C21" authorId="0" shapeId="0" xr:uid="{2EC23AE9-647D-2047-B07D-97BF290F6D5C}">
      <text>
        <r>
          <rPr>
            <b/>
            <sz val="12"/>
            <color rgb="FF000000"/>
            <rFont val="Arial"/>
            <family val="34"/>
          </rPr>
          <t xml:space="preserve">Maksettava arvonlisävero: </t>
        </r>
        <r>
          <rPr>
            <sz val="12"/>
            <color rgb="FF000000"/>
            <rFont val="Arial"/>
            <family val="34"/>
          </rPr>
          <t>Toisen jakson luku siirtynyt automaattisesti ensimmäisen vuoden viimeiseltä kaudelta.</t>
        </r>
      </text>
    </comment>
    <comment ref="M42" authorId="0" shapeId="0" xr:uid="{FEA5CB39-3A54-C74E-B8C8-EFAA2E6255C1}">
      <text>
        <r>
          <rPr>
            <b/>
            <sz val="12"/>
            <color rgb="FF000000"/>
            <rFont val="Arial"/>
            <family val="34"/>
          </rPr>
          <t>Maksuvalmius 12. jakso:</t>
        </r>
        <r>
          <rPr>
            <sz val="12"/>
            <color rgb="FF000000"/>
            <rFont val="Arial"/>
            <family val="34"/>
          </rPr>
          <t xml:space="preserve"> Siirtyy automaattisesti kolmannen vuoden alkukassa -taulukon 1. jaksoon.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9" authorId="0" shapeId="0" xr:uid="{FE4C5E22-11B9-E043-AA6F-C19A7888107C}">
      <text>
        <r>
          <rPr>
            <b/>
            <sz val="12"/>
            <color rgb="FF000000"/>
            <rFont val="Arial"/>
            <family val="34"/>
          </rPr>
          <t>Viime jakson masuvalmius:</t>
        </r>
        <r>
          <rPr>
            <sz val="12"/>
            <color rgb="FF000000"/>
            <rFont val="Arial"/>
            <family val="34"/>
          </rPr>
          <t xml:space="preserve"> Ensimmäisen jakson luku siirtynyt automaattisesti toisen vuoden maksuvalmius -taulukon 12. jaksosta.</t>
        </r>
      </text>
    </comment>
    <comment ref="A21" authorId="0" shapeId="0" xr:uid="{F142A068-FE62-E140-BB91-B8166D99212F}">
      <text>
        <r>
          <rPr>
            <b/>
            <sz val="12"/>
            <color rgb="FF000000"/>
            <rFont val="Arial"/>
            <family val="34"/>
          </rPr>
          <t>Arvonlisävero:</t>
        </r>
        <r>
          <rPr>
            <sz val="12"/>
            <color rgb="FF000000"/>
            <rFont val="Calibri"/>
            <family val="2"/>
          </rPr>
          <t xml:space="preserve">
</t>
        </r>
        <r>
          <rPr>
            <b/>
            <sz val="12"/>
            <color rgb="FF000000"/>
            <rFont val="Arial"/>
            <family val="34"/>
          </rPr>
          <t>Negatiivinen luku = alv palautus verottajalta.</t>
        </r>
        <r>
          <rPr>
            <sz val="12"/>
            <color rgb="FF000000"/>
            <rFont val="Calibri"/>
            <family val="2"/>
          </rPr>
          <t xml:space="preserve">
</t>
        </r>
        <r>
          <rPr>
            <b/>
            <sz val="12"/>
            <color rgb="FF000000"/>
            <rFont val="Arial"/>
            <family val="34"/>
          </rPr>
          <t>Positiivinen luku = maksettava alv verottajalle.</t>
        </r>
        <r>
          <rPr>
            <sz val="12"/>
            <color rgb="FF000000"/>
            <rFont val="Calibri"/>
            <family val="2"/>
          </rPr>
          <t xml:space="preserve">
</t>
        </r>
        <r>
          <rPr>
            <sz val="12"/>
            <color rgb="FF000000"/>
            <rFont val="Arial"/>
            <family val="34"/>
          </rPr>
          <t>Arvonlisäveron (alv) ilmoitus- ja maksupäivä on 12. päivä sitä kuuta, joka on toinen kuukausi verokauden päättymisen jälkeen. Eli esim. tammikuun alv maksetaan maaliskuun 12.päivään mennessä. HUOM! Arvonlisäveron osalta tämä laskelma on yksinkertaistettu. Myös muiden tulonhankkimiskulujen (kuin ostojen) alv:t voi vähentää arvonlisäverotuksessa.</t>
        </r>
      </text>
    </comment>
    <comment ref="B21" authorId="0" shapeId="0" xr:uid="{5429B48C-F9D8-F24D-8FC8-1A3DB5C0E296}">
      <text>
        <r>
          <rPr>
            <b/>
            <sz val="12"/>
            <color rgb="FF000000"/>
            <rFont val="Arial"/>
            <family val="34"/>
          </rPr>
          <t xml:space="preserve">Maksettava arvonlisävero: </t>
        </r>
        <r>
          <rPr>
            <sz val="12"/>
            <color rgb="FF000000"/>
            <rFont val="Arial"/>
            <family val="34"/>
          </rPr>
          <t>Ensimmäisen jakson luku siirtynyt automaattisesti toisen vuoden toiseksi viimeiseltä kaudelta.</t>
        </r>
      </text>
    </comment>
    <comment ref="C21" authorId="0" shapeId="0" xr:uid="{24A914B0-D57D-A144-8422-1F463469675E}">
      <text>
        <r>
          <rPr>
            <b/>
            <sz val="12"/>
            <color rgb="FF000000"/>
            <rFont val="Arial"/>
            <family val="34"/>
          </rPr>
          <t xml:space="preserve">Maksettava arvonlisävero: </t>
        </r>
        <r>
          <rPr>
            <sz val="12"/>
            <color rgb="FF000000"/>
            <rFont val="Arial"/>
            <family val="34"/>
          </rPr>
          <t>Toisen jakson luku siirtynyt automaattisesti toisen vuoden viimeiseltä kaudelta.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<sst xmlns="http://schemas.openxmlformats.org/spreadsheetml/2006/main" count="1629" uniqueCount="268">
  <si>
    <t>● Mitkä ovat yritystoimintasi kannalta tärkeitä ja järkeviä hankintoja?</t>
  </si>
  <si>
    <t xml:space="preserve">● Miten paljon käyttöpääomaa tarvitset selviytyäksesi ensimmäisistä kuukausista? </t>
  </si>
  <si>
    <t>● Kuinka paljon voit sijoittaa omaa rahaa tai/ja työvälineitä yritykseesi?</t>
  </si>
  <si>
    <t xml:space="preserve">● Kuinka paljon tarvitset lainaa, mistä hankit sen ja mitä se maksaa sekä tarvitsetko vakuuksia? </t>
  </si>
  <si>
    <t>Rahoituslaskelma välilehden loppu.</t>
  </si>
  <si>
    <t>€</t>
  </si>
  <si>
    <t>Kannattavuuslaskelma / ns. Nollatuloslaskelma</t>
  </si>
  <si>
    <t>Ohjeet kannattavuuslaskelmaan:</t>
  </si>
  <si>
    <t>Myyntituotot</t>
  </si>
  <si>
    <t>Arvonlisävero</t>
  </si>
  <si>
    <t>Henkilöstökulut</t>
  </si>
  <si>
    <t>Vuokrat</t>
  </si>
  <si>
    <t>Markkinointi</t>
  </si>
  <si>
    <t>Liiketoiminnan muut kulut</t>
  </si>
  <si>
    <t>Rahoituskulut</t>
  </si>
  <si>
    <t>Verot</t>
  </si>
  <si>
    <t>Poistot</t>
  </si>
  <si>
    <t>Satunnaiset tuotot/kulut</t>
  </si>
  <si>
    <t>vuosi +1</t>
  </si>
  <si>
    <t>vuosi +2</t>
  </si>
  <si>
    <t>vuosi +3</t>
  </si>
  <si>
    <t>vuosi 2</t>
  </si>
  <si>
    <t>vuosi 3</t>
  </si>
  <si>
    <t>Yhteensä</t>
  </si>
  <si>
    <t>Liikevaihto (ilman alv)</t>
  </si>
  <si>
    <t>Kassavirtalaskelma</t>
  </si>
  <si>
    <t>1. VUOSI</t>
  </si>
  <si>
    <t>Käteismyynti (alv 0%)</t>
  </si>
  <si>
    <t>Maksut myyntisaamisista (alv 0%)</t>
  </si>
  <si>
    <t>Muut tulot (alv 0%)</t>
  </si>
  <si>
    <t>Kassastamaksu (alv 0%)</t>
  </si>
  <si>
    <t>Muut vakuutukset</t>
  </si>
  <si>
    <t>Kassastamaksu yhteensä</t>
  </si>
  <si>
    <t>Maksuvalmius (kuun lopussa)</t>
  </si>
  <si>
    <t>(Ennen) käynnistystä</t>
  </si>
  <si>
    <t>Arvio</t>
  </si>
  <si>
    <t>Nimikearvio</t>
  </si>
  <si>
    <t>Kannattavuuslaskelma välilehden loppu.</t>
  </si>
  <si>
    <t>Jakso 1</t>
  </si>
  <si>
    <t>Jakso 2</t>
  </si>
  <si>
    <t>Jakso 4</t>
  </si>
  <si>
    <t>Jakso 3</t>
  </si>
  <si>
    <t>Jakso 5</t>
  </si>
  <si>
    <t>Jakso 6</t>
  </si>
  <si>
    <t>Jakso 7</t>
  </si>
  <si>
    <t>Jakso 8</t>
  </si>
  <si>
    <t>Jakso 9</t>
  </si>
  <si>
    <t>Jakso 10</t>
  </si>
  <si>
    <t>Jakso 11</t>
  </si>
  <si>
    <t>Jakso 12</t>
  </si>
  <si>
    <t>Alkukassan ja tulojen summa</t>
  </si>
  <si>
    <t>Viime jakson maksuvalmius</t>
  </si>
  <si>
    <t>Alkukassa, eli rahavarat kauden alussa</t>
  </si>
  <si>
    <t>Alkukassa ja tulot</t>
  </si>
  <si>
    <t>Kuukausimyyntilaskelma välilehden loppu.</t>
  </si>
  <si>
    <t>Kulut yhteensä</t>
  </si>
  <si>
    <t>Tuotteen/tuoteryhmän kate</t>
  </si>
  <si>
    <t>Myyntikate yhteensä</t>
  </si>
  <si>
    <t>Tuotemyynti yhteensä</t>
  </si>
  <si>
    <t>Myydyt tuotteet yhteensä</t>
  </si>
  <si>
    <t>Myynnin yhteenveto</t>
  </si>
  <si>
    <t>Kuukaudessa</t>
  </si>
  <si>
    <t>Vuodessa</t>
  </si>
  <si>
    <t>Kokonaisuudessaan</t>
  </si>
  <si>
    <t>Tyhjä solu</t>
  </si>
  <si>
    <t>Rahoituslaskelma välilehden oikea reuna.</t>
  </si>
  <si>
    <t>Kannattavuuslaskelma välilehden oikea reuna.</t>
  </si>
  <si>
    <t>Kuukausimyyntilaskelma välilehden oikea reuna.</t>
  </si>
  <si>
    <t>Rahan tarve (ennen kuin aloitat yritystoiminnan)</t>
  </si>
  <si>
    <t>Investoinnit</t>
  </si>
  <si>
    <t>Käyttöpääoma 1-3 kk</t>
  </si>
  <si>
    <t>Vaihto- ja rahoitusomaisuus</t>
  </si>
  <si>
    <t>Rahan tarve yhteensä</t>
  </si>
  <si>
    <t>Rahan lähteet (miten järjestät alkurahoituksen?)</t>
  </si>
  <si>
    <t>Oma pääoma</t>
  </si>
  <si>
    <t>Lainapääoma</t>
  </si>
  <si>
    <t>Rahan lähteet yhteensä</t>
  </si>
  <si>
    <t>Kolmen vuoden tuloslaskelma</t>
  </si>
  <si>
    <t>Omien työntekijöiden palkat</t>
  </si>
  <si>
    <t>Palkkojen sivukustannukset (n. 40 %)</t>
  </si>
  <si>
    <t>Vuokrat ja sähkö</t>
  </si>
  <si>
    <t>Leasing-maksut ym. osamaksut</t>
  </si>
  <si>
    <t>Puhelin, internet</t>
  </si>
  <si>
    <t>Matka-/autokulut</t>
  </si>
  <si>
    <t>Kirjanpito</t>
  </si>
  <si>
    <t>Toimistokulut</t>
  </si>
  <si>
    <t>Koulutus</t>
  </si>
  <si>
    <t>Lehdet yms.</t>
  </si>
  <si>
    <t>Korjaukset</t>
  </si>
  <si>
    <t>Yrittäjän työttömyyskassamaksu</t>
  </si>
  <si>
    <t>Kiinteät kulut yhteensä</t>
  </si>
  <si>
    <t>Liikevaihto</t>
  </si>
  <si>
    <t>Käyttökate</t>
  </si>
  <si>
    <t>Rahoitustulos</t>
  </si>
  <si>
    <t>Nettotulos</t>
  </si>
  <si>
    <t>Kokonaistulos</t>
  </si>
  <si>
    <t>Yrityslainojen lyhennys</t>
  </si>
  <si>
    <t>Yrityslainojen korot</t>
  </si>
  <si>
    <t>Rahoitustarve ja yrityslainojen korot yhteensä</t>
  </si>
  <si>
    <t>Rahoitustarve, eli oma bruttotulo (nettotulot + verot omasta tulosta)</t>
  </si>
  <si>
    <t>Kassavirtalaskelma 1. vuosi välilehden loppu.</t>
  </si>
  <si>
    <t>Kassavirtalaskelma 1. vuosi välilehden oikea reuna.</t>
  </si>
  <si>
    <t>Tavoitetulos</t>
  </si>
  <si>
    <t>Sisältää arvonlisäveron</t>
  </si>
  <si>
    <t>Ohjeet rahoituslaskelmaan:</t>
  </si>
  <si>
    <t>Myyntikatetarve (tavoitetulos ja kiinteät kulut yhteensä)</t>
  </si>
  <si>
    <t>Yritystoiminnan rahoituslaskelma</t>
  </si>
  <si>
    <t>Rahan lähteiden ja rahan tarpeiden erotus</t>
  </si>
  <si>
    <t>2. VUOSI</t>
  </si>
  <si>
    <t>3. VUOSI</t>
  </si>
  <si>
    <t>Kommentti</t>
  </si>
  <si>
    <t>Muut mahdolliset kulut 2</t>
  </si>
  <si>
    <t>Muut mahdolliset kulut 3</t>
  </si>
  <si>
    <t>Onko rahan tarve yhtä suuri kuin rahan lähde?</t>
  </si>
  <si>
    <t>Yrittäjän oma palkka (ei koske toiminimeä)</t>
  </si>
  <si>
    <t>Ostovelkojen maksut</t>
  </si>
  <si>
    <t>Palkat</t>
  </si>
  <si>
    <t>Korot</t>
  </si>
  <si>
    <t>Muut kulut 1</t>
  </si>
  <si>
    <t>Muut kulut 2</t>
  </si>
  <si>
    <t>Rahoitus</t>
  </si>
  <si>
    <t>Lainojen nostot</t>
  </si>
  <si>
    <t>Omistajien sijoitukset</t>
  </si>
  <si>
    <t>Muu rahoitus 1</t>
  </si>
  <si>
    <t>Muu rahoitus 2</t>
  </si>
  <si>
    <t>Rahoitus yhteensä</t>
  </si>
  <si>
    <t>Lainojen lyhennykset, pois rahoituksesta</t>
  </si>
  <si>
    <t>Omistajien yksityisotot, pois rahoituksesta</t>
  </si>
  <si>
    <r>
      <rPr>
        <b/>
        <sz val="14"/>
        <color theme="1"/>
        <rFont val="Arial"/>
        <family val="2"/>
      </rPr>
      <t xml:space="preserve">Nettotulot: </t>
    </r>
    <r>
      <rPr>
        <sz val="14"/>
        <color theme="1"/>
        <rFont val="Arial"/>
        <family val="2"/>
      </rPr>
      <t>Tavoitetulokseen lisätään yritystoiminnan lainojen lyhennys, jolloin saadaan nettotulot. Kun nettotuloihin lisätään verot, saadaan rahoitustarve. Kun rahoitustarpeeseen lisätään yritystoiminnan lainojen korot, saadaan summa, joka yritystoiminnalla tulee ansaita elääkseen ja hoitaakseen yritystoiminnan lainat.</t>
    </r>
  </si>
  <si>
    <r>
      <rPr>
        <b/>
        <sz val="14"/>
        <color theme="1"/>
        <rFont val="Arial"/>
        <family val="2"/>
      </rPr>
      <t>Kiinteät kulut:</t>
    </r>
    <r>
      <rPr>
        <sz val="14"/>
        <color theme="1"/>
        <rFont val="Arial"/>
        <family val="2"/>
      </rPr>
      <t xml:space="preserve"> Kiinteät kulut ovat kuluja, jotka eivät riipu yrityksen laskutuksen suuruudesta vaan jatkuvat kuukaudesta toiseen melko samansuuruisina. Kiinteitä kuluja ovat esim. muiden työtekijöiden palkat, vakuutukset, vuokrat, toimistokulut, sähkö/vesi jne.</t>
    </r>
  </si>
  <si>
    <r>
      <rPr>
        <b/>
        <sz val="14"/>
        <color theme="1"/>
        <rFont val="Arial"/>
        <family val="2"/>
      </rPr>
      <t>Myyntikatetarve:</t>
    </r>
    <r>
      <rPr>
        <sz val="14"/>
        <color theme="1"/>
        <rFont val="Arial"/>
        <family val="2"/>
      </rPr>
      <t xml:space="preserve"> Laskemalla yhteen yritystoiminnan rahoitustarve, yrityslainojen korot ja kiinteät kulut, saadaan myyntikatetarve.</t>
    </r>
  </si>
  <si>
    <r>
      <rPr>
        <b/>
        <sz val="14"/>
        <color theme="1"/>
        <rFont val="Arial"/>
        <family val="2"/>
      </rPr>
      <t>Arvonlisävero:</t>
    </r>
    <r>
      <rPr>
        <sz val="14"/>
        <color theme="1"/>
        <rFont val="Arial"/>
        <family val="2"/>
      </rPr>
      <t xml:space="preserve"> Arvonlisävero riippuu jossain määrin myytävistä tuotteista tai palveluista.</t>
    </r>
  </si>
  <si>
    <r>
      <rPr>
        <b/>
        <sz val="14"/>
        <color theme="1"/>
        <rFont val="Arial"/>
        <family val="2"/>
      </rPr>
      <t>Kokonaismyynti/-laskutus:</t>
    </r>
    <r>
      <rPr>
        <sz val="14"/>
        <color theme="1"/>
        <rFont val="Arial"/>
        <family val="2"/>
      </rPr>
      <t xml:space="preserve"> Kokonaismyynti/-laskutus on liikevaihdon ja arvonlisäveron summa.</t>
    </r>
  </si>
  <si>
    <r>
      <t xml:space="preserve">Kolmen vuoden kasvuprosentti: </t>
    </r>
    <r>
      <rPr>
        <sz val="14"/>
        <color theme="1"/>
        <rFont val="Arial"/>
        <family val="2"/>
      </rPr>
      <t>Voit muuttaa tulojen ja menojen kasvuprosenttilukuja.</t>
    </r>
  </si>
  <si>
    <r>
      <rPr>
        <b/>
        <sz val="14"/>
        <color theme="1"/>
        <rFont val="Arial"/>
        <family val="2"/>
      </rPr>
      <t xml:space="preserve">Yrittäjän oma toimeentulo: </t>
    </r>
    <r>
      <rPr>
        <sz val="14"/>
        <color theme="1"/>
        <rFont val="Arial"/>
        <family val="2"/>
      </rPr>
      <t>Paljonko tarvitset kuukaudessa omiin pakollisiin henkilökohtaisiin menoihisi? Kerro tämä luku sillä määrällä kuukausia, kunnes toiminta alkaa arviosi mukaan tuottamaan sinulle toimeentuloa.</t>
    </r>
  </si>
  <si>
    <r>
      <rPr>
        <b/>
        <sz val="14"/>
        <color theme="1"/>
        <rFont val="Arial"/>
        <family val="2"/>
      </rPr>
      <t>Rahan lähteiden ja rahan tarpeiden erotus:</t>
    </r>
    <r>
      <rPr>
        <sz val="14"/>
        <color theme="1"/>
        <rFont val="Arial"/>
        <family val="2"/>
      </rPr>
      <t xml:space="preserve"> Rahoituslaskelma on tehty oikein, kun rahan tarve on yhtä suuri kuin rahan lähteet. Jos saat miinus-merkkisen tuloksen erotukseksi, sinun täytyy lisätä rahan lähteiden summaa niin, että se vastaa rahan tarvetta.</t>
    </r>
  </si>
  <si>
    <r>
      <rPr>
        <b/>
        <sz val="14"/>
        <color theme="1"/>
        <rFont val="Arial"/>
        <family val="2"/>
      </rPr>
      <t xml:space="preserve">Vuokra tiloista / takuuvuokrat: </t>
    </r>
    <r>
      <rPr>
        <sz val="14"/>
        <color theme="1"/>
        <rFont val="Arial"/>
        <family val="2"/>
      </rPr>
      <t>Jos arvioit kestävän 3 kuukautta ennen kuin pystyt tulorahoituksella (asiakkailta saaduilla rahoilla) maksamaan vuokran ja joudut maksamaan 3 kuukautta takuuvuokraa, tulee sinun syöttää tähän 6 x kuukausivuokrasi.</t>
    </r>
  </si>
  <si>
    <t>Määrä 1</t>
  </si>
  <si>
    <t>Määrä 2</t>
  </si>
  <si>
    <t>Määrä 3</t>
  </si>
  <si>
    <t>Määrä 4</t>
  </si>
  <si>
    <t>Määrä 5</t>
  </si>
  <si>
    <t>Määrä 6</t>
  </si>
  <si>
    <t>Nettotulot (tavoitetulos + yrityslainojen lyhennys)</t>
  </si>
  <si>
    <t>Yritystoiminnan kiinteät kulut (ilman arvonlisäveroa)</t>
  </si>
  <si>
    <t>Yrittäjän eläkevakuutus (YEL)</t>
  </si>
  <si>
    <t>Myyntikatetarve (rahoitustarve + yrityslainojen korot + kiinteät kulut)</t>
  </si>
  <si>
    <t>Kolmen vuoden kasvuprosentti</t>
  </si>
  <si>
    <t>Aloittaaksesi yritystoiminnan, rahan lähteiden tulee olla yhtä suuri kuin rahan tarpeiden</t>
  </si>
  <si>
    <t>Kaikki tuotteet</t>
  </si>
  <si>
    <t>Auto</t>
  </si>
  <si>
    <t>Kalusteet</t>
  </si>
  <si>
    <t>Remontointi</t>
  </si>
  <si>
    <t>Muut mahdolliset investoinnit 1</t>
  </si>
  <si>
    <t>Muut mahdolliset investoinnit 2</t>
  </si>
  <si>
    <t>Vuokra tiloista / takuuvuokrat</t>
  </si>
  <si>
    <t>Laitevuokrat/leasing</t>
  </si>
  <si>
    <t>Yrittäjän oma toimeentulo</t>
  </si>
  <si>
    <t>Työntekijöiden palkat</t>
  </si>
  <si>
    <t>Muut satunnaiset käyttöpääomamenot</t>
  </si>
  <si>
    <t>Alkuvarasto</t>
  </si>
  <si>
    <t>Kassa</t>
  </si>
  <si>
    <t>Muu vaihto- ja rahoitusomaisuus</t>
  </si>
  <si>
    <t>Omat sijoitukset yritykseen</t>
  </si>
  <si>
    <t>Osakepääoma</t>
  </si>
  <si>
    <t>Muu pääoma</t>
  </si>
  <si>
    <t>Pankkilaina</t>
  </si>
  <si>
    <t>Finnvera</t>
  </si>
  <si>
    <t>Muut lainat (esim. lähipiirilaina)</t>
  </si>
  <si>
    <t>Muut (esim. luottokorttilimiitti jne)</t>
  </si>
  <si>
    <t>Muu lainapääoma</t>
  </si>
  <si>
    <t>Tilikausi alkaa (täytä alle):</t>
  </si>
  <si>
    <t>Yrityksen nimi (täytä alle):</t>
  </si>
  <si>
    <t>Yritys</t>
  </si>
  <si>
    <r>
      <t xml:space="preserve">Tämä lomake auttaa sinua selvittämään mitä yritystoimintasi aloittaminen maksaa (rahan tarve), sekä suunnittelemaan, miten aiot rahoittaa toiminnan (rahan lähteet).
</t>
    </r>
    <r>
      <rPr>
        <b/>
        <sz val="14"/>
        <color theme="1"/>
        <rFont val="Arial"/>
        <family val="2"/>
      </rPr>
      <t>Tarkemmat täyttöohjeet välilehden pohjalla ja muistiinpanoissa.</t>
    </r>
  </si>
  <si>
    <r>
      <t xml:space="preserve">Kannattavuuslaskelman avulla voit hahmottaa, minkälaiseen liikevaihtoon sinun tulisi minimissään pyrkiä. Täytä kannattavuuslaskelma ajatuksen kanssa. Se on tärkeä työväline yritystä suunnitellessasi ja sen toiminnassa.
</t>
    </r>
    <r>
      <rPr>
        <b/>
        <sz val="14"/>
        <color theme="1"/>
        <rFont val="Arial"/>
        <family val="2"/>
      </rPr>
      <t>Tarkemmat täyttöohjeet välilehden pohjalla ja muistiinpanoissa.</t>
    </r>
  </si>
  <si>
    <t>Rahoituslaskelma välilehti. Tällä välilehdellä voit määrittää rahan tarpeet ja rahan lähteet, jotta tiedät onko yritystoiminnan aloittaminen mahdollista. Välilehden pohjalla on "Ohjeet rahoituslaskelmaan", jossa on tarkemmat ohjeet tiettyjen solujen täyttöön. Ohjeet myös solujen muistiinpanoissa. Voit nimetä yrityksesi "Yrityksen nimi"-solussa. Tällä välilehdellä on 3 taulukkoa: "Rahan tarve"-taulukko, "Rahan lähteet"-taulukko, ja "Rahan lähteiden ja rahan tarpeiden erotus"-taulukko. Täytä "Rahan tarve"-taulukko ja "Rahan lähteet"-taulukko. "Rahan lähteiden ja rahan tarpeiden erotus"-taulukko täyttyy automaattisesti.</t>
  </si>
  <si>
    <t>Kuukausimyyntilaskelma tuotteet/palvelut</t>
  </si>
  <si>
    <t>Kannattavuuslaskelman myyntikatetarve</t>
  </si>
  <si>
    <t>Erotus (oltava positiivinen, jotta toiminta on voitollista)</t>
  </si>
  <si>
    <t>Asiakasryhmä 1</t>
  </si>
  <si>
    <t>Asiakasryhmä 2</t>
  </si>
  <si>
    <t>Asiakasryhmä 3</t>
  </si>
  <si>
    <t>Asiakasryhmä 4</t>
  </si>
  <si>
    <t>Asiakasryhmä 5</t>
  </si>
  <si>
    <t>Asiakasryhmä 6</t>
  </si>
  <si>
    <t>Ohjeet kassavirtalaskelmaan:</t>
  </si>
  <si>
    <t>Ennakonpidätys- ja sotu-maksu / TyEL</t>
  </si>
  <si>
    <t>YEL</t>
  </si>
  <si>
    <t>Vuodessa (12 kk)</t>
  </si>
  <si>
    <t>Veroton vuodessa</t>
  </si>
  <si>
    <t>Kokonaismyynti/-laskutus (myyntikatetarve + arvonlisävero)</t>
  </si>
  <si>
    <t>Tuote/Palvelu 1</t>
  </si>
  <si>
    <t>Tuote/Palvelu 2</t>
  </si>
  <si>
    <t>Tuote/Palvelu 3</t>
  </si>
  <si>
    <t>Tuote/Palvelu 4</t>
  </si>
  <si>
    <t>Tuote/Palvelu 5</t>
  </si>
  <si>
    <t>Tuote/Palvelu 6</t>
  </si>
  <si>
    <t>Myydyt tuotteet/palvelut per asiakas (nimeä asiakas/asiakasryhmä)</t>
  </si>
  <si>
    <t>Kulut 1</t>
  </si>
  <si>
    <t>Kulut 2</t>
  </si>
  <si>
    <t>Kulut 3</t>
  </si>
  <si>
    <t>Kulut 4</t>
  </si>
  <si>
    <t>Kulut 5</t>
  </si>
  <si>
    <t>Kulut 6</t>
  </si>
  <si>
    <t>Tuotteen/tuoteryhmän veroton hinta ja kulut</t>
  </si>
  <si>
    <t>Tuotteiden/tuoteryhmien hinnat, 
€/kk ilman arvonlisäveroa</t>
  </si>
  <si>
    <t>Veroton 
hinta 1</t>
  </si>
  <si>
    <t>Veroton 
hinta 2</t>
  </si>
  <si>
    <t>Veroton 
hinta 3</t>
  </si>
  <si>
    <t>Veroton 
hinta 4</t>
  </si>
  <si>
    <t>Veroton 
hinta 5</t>
  </si>
  <si>
    <t>Veroton 
hinta 6</t>
  </si>
  <si>
    <t>Tuotteiden/Tuoteryhmien nimet 
(täytä oikealle):</t>
  </si>
  <si>
    <t>Kuukausimyyntilaskelma välilehti. Tällä välilehdellä voit määrittää kuuden tuotteen/tuoteryhmän kuukausimyyntilaskelman. Täytä tuotteiden/tuoteryhmien nimet. Tällä välilehdellä on 3 taulukkoa: "Tuotteiden hinnat"-taulukko, "Tuotteiden myyntimäärä"-taulukko, ja "Myynnin yhteenveto"-taulukko. "Täytä tuotteiden hinnat"-taulukossa tuotteiden verottomat hinnat ja kulut. Täytä "Tuotteiden myyntimäärä"-taulukossa "Määrä"-sarakkeet, "Hinta"-sarakkeet täyttyvät automaattisesti. Korvaa "Asiakas 1", "Asiakas 2" jne. oikeilla asiakkaiden nimillä. Muut taulukot täyttyvät automaattisesti.</t>
  </si>
  <si>
    <t>Kate 
yhteensä 1</t>
  </si>
  <si>
    <t>Kate 
yhteensä 2</t>
  </si>
  <si>
    <t>Kate 
yhteensä 3</t>
  </si>
  <si>
    <t>Kate 
yhteensä 4</t>
  </si>
  <si>
    <t>Kate 
yhteensä 5</t>
  </si>
  <si>
    <t>Kate 
yhteensä 6</t>
  </si>
  <si>
    <t>Klikkaa tästä, laskeaksesi tarkemmin oman veroprosenttisi, verohallinnon sivujen veroprosenttilaskurilla.</t>
  </si>
  <si>
    <t>Arvonlisäveroprosentti (täytä alle):</t>
  </si>
  <si>
    <t>Ostot (sisältää alv)</t>
  </si>
  <si>
    <t>Yhteensä (sisältää alv)</t>
  </si>
  <si>
    <t>Kassastamaksu (sisältää alv)</t>
  </si>
  <si>
    <t>Ei täyty</t>
  </si>
  <si>
    <t>Kassavirtalaskelma 1. vuosi välilehti. Tällä välilehdellä on ensimmäisen vuoden kassavirtalaskelmataulukot. Välilehden pohjalla on "Ohjeet kassavirtalaskelmaan", jossa on tarkemmat ohjeet tiettyjen solujen täyttöön. Ohjeet myös solujen muistiinpanoissa. "Tilikauden alku"-soluun voit kirjoittaa tilikauden alun päivämäärän. "Arvonlisäveroprosentti"-soluun voit täyttää halutulla prosentiyksiköllä. Välilehden taulukot on jaettu arvio-sarakkeseen ja kahteentoista jakso-sarakkeeseen; yksi per kuukausi. Välilehdellä on 7 taulukkoa: "Alkukassa"-taulukko, "Kassaanmaksu"-taulukko, "Alkukassa ja tulot"-taulukko, "Kassastamaksu alv"-taulukko, "Kassastamaksu"-taulukko, "Rahoitus"-taulukko, ja "Maksuvalmius kuun lopussa"-taulukko. Täytä "Kassaanmaksu"-taulukko, "Kassastamaksu alv"-taulukko, "Kassastamaksu"-taulukko ja "Rahoitus"-taulukko. Kun ne on täytetty, niiden pohjalta ja oikealta reunalta löytyvät summat. "Alkukassa"-taulukon "Arvio"-sarakkeen voi täyttää. Muut taulukot täyttyvät automaattisesti.</t>
  </si>
  <si>
    <t>Arvonlisävero toissa jaksolta (maksettava erotus)</t>
  </si>
  <si>
    <t>Ostot (alv 0%)</t>
  </si>
  <si>
    <t>Kassaanmaksu, eli tulot</t>
  </si>
  <si>
    <t>Kassavirtalaskelma 2. vuosi välilehti. Tällä välilehdellä on toisen vuoden kassavirtalaskelmataulukot. Välilehden pohjalla on "Ohjeet kassavirtalaskelmaan", jossa on tarkemmat ohjeet tiettyjen solujen täyttöön. Ohjeet myös solujen muistiinpanoissa. "Tilikauden alku"-soluun voit kirjoittaa tilikauden alun päivämäärän. "Arvonlisäveroprosentti"-soluun voit täyttää halutulla prosentiyksiköllä. Välilehden taulukot on jaettu arvio-sarakkeseen ja kahteentoista jakso-sarakkeeseen; yksi per kuukausi. Välilehdellä on 7 taulukkoa: "Alkukassa"-taulukko, "Kassaanmaksu"-taulukko, "Alkukassa ja tulot"-taulukko, "Kassastamaksu alv"-taulukko, "Kassastamaksu"-taulukko, "Rahoitus"-taulukko, ja "Maksuvalmius kuun lopussa"-taulukko. Täytä "Kassaanmaksu"-taulukko, "Kassastamaksu alv"-taulukko, "Kassastamaksu"-taulukko ja "Rahoitus"-taulukko. Kun ne on täytetty, niiden pohjalta ja oikealta reunalta löytyvät summat. "Alkukassa"-taulukon "Arvio"-sarakkeen voi täyttää. Muut taulukot täyttyvät automaattisesti.</t>
  </si>
  <si>
    <t>Kassavirtalaskelma 3. vuosi välilehti. Tällä välilehdellä on kolmannen vuoden kassavirtalaskelmataulukot. Välilehden pohjalla on "Ohjeet kassavirtalaskelmaan", jossa on tarkemmat ohjeet tiettyjen solujen täyttöön. Ohjeet myös solujen muistiinpanoissa. "Tilikauden alku"-soluun voit kirjoittaa tilikauden alun päivämäärän. "Arvonlisäveroprosentti"-soluun voit täyttää halutulla prosentiyksiköllä. Välilehden taulukot on jaettu arvio-sarakkeseen ja kahteentoista jakso-sarakkeeseen; yksi per kuukausi. Välilehdellä on 7 taulukkoa: "Alkukassa"-taulukko, "Kassaanmaksu"-taulukko, "Alkukassa ja tulot"-taulukko, "Kassastamaksu alv"-taulukko, "Kassastamaksu"-taulukko, "Rahoitus"-taulukko, ja "Maksuvalmius kuun lopussa"-taulukko. Täytä "Kassaanmaksu"-taulukko, "Kassastamaksu alv"-taulukko, "Kassastamaksu"-taulukko ja "Rahoitus"-taulukko. Kun ne on täytetty, niiden pohjalta ja oikealta reunalta löytyvät summat. "Alkukassa"-taulukon "Arvio"-sarakkeen voi täyttää. Muut taulukot täyttyvät automaattisesti.</t>
  </si>
  <si>
    <t>vuosi 1</t>
  </si>
  <si>
    <t>Ei täytetä</t>
  </si>
  <si>
    <t>Jos kyseessä on yrityksen osto, kauppasumma</t>
  </si>
  <si>
    <t>Yrityksen perustamismenot ja lupamaksut</t>
  </si>
  <si>
    <t>Työvälineet ja tietotekniikka</t>
  </si>
  <si>
    <t>Puhelin yms.</t>
  </si>
  <si>
    <t>Toimisto- yms. Pientarvikkeet</t>
  </si>
  <si>
    <t>Asennukset, muut ostopalvelut</t>
  </si>
  <si>
    <t>Osakaslaina</t>
  </si>
  <si>
    <t>Muut mahdolliset kulut 1 (esim. ostopalvelut)</t>
  </si>
  <si>
    <t>.</t>
  </si>
  <si>
    <r>
      <rPr>
        <b/>
        <sz val="14"/>
        <color theme="1"/>
        <rFont val="Arial"/>
        <family val="2"/>
      </rPr>
      <t>Verot tulosta:</t>
    </r>
    <r>
      <rPr>
        <sz val="14"/>
        <color theme="1"/>
        <rFont val="Arial"/>
        <family val="2"/>
      </rPr>
      <t xml:space="preserve"> Esim. Toiminimi-yrittäjä, joka tienaa kuukaudessa yrittäjänä 1800 € netto, maksaa veroja kuukaudessa noin 90 €. Laskettu niin, ettei ole muita tuloja, kuuluu kirkkoon (ev.lut) ja YEL maksetaan vähimmäistyötulon mukaan. Katso tarkemmin oma veroprosenttisi verohallinnon sivujen veroprosenttilaskurilla. Osakeyhtiön yhteisövero on aina 20%, ja tämän lisäksi yrittäjä maksaa itse verot ansiotulostaan, eli palkastaan.</t>
    </r>
  </si>
  <si>
    <t>© Copyright Business Helsinki</t>
  </si>
  <si>
    <t>Toiminimiyrittäjän nettoansio tai osakeyhtiön tulos</t>
  </si>
  <si>
    <r>
      <rPr>
        <b/>
        <sz val="14"/>
        <color theme="1"/>
        <rFont val="Arial"/>
        <family val="2"/>
      </rPr>
      <t>Toiminimiyrittäjän nettoansio tai osakeyhtiön tulos:</t>
    </r>
    <r>
      <rPr>
        <sz val="14"/>
        <color theme="1"/>
        <rFont val="Arial"/>
        <family val="2"/>
      </rPr>
      <t xml:space="preserve"> Tavoitetulos tarkoittaa yrittäjän oman yritystoiminnan nettotulotarvetta. Saat sen, kun arvioit kuinka paljon rahaa tarvitset kuukaudessa henkilökohtaisiin menoihin (asuminen, ruoka, vaatteet yms.). Tavoitetulosta voit myös arvioida työsuhteessa saamasi nettopalkan avulla. Osakeyhtiön kohdalla palkka tulee bruttona riville 17.</t>
    </r>
  </si>
  <si>
    <t>Arvonlisävero (oletuksena 25,5%)</t>
  </si>
  <si>
    <t>Verot toiminimiyrittäjän ansiosta tai osakeyhtiön tuloksesta</t>
  </si>
  <si>
    <t>Liikevoittoprosentti (Tavoite n. 10%. Tarkista kannattavuus jos alle 5%)</t>
  </si>
  <si>
    <t>Maksuvalmiuden kasvu</t>
  </si>
  <si>
    <t>Tulojen kasvu (%)</t>
  </si>
  <si>
    <t>Menojen kasvu (%)</t>
  </si>
  <si>
    <t>Kassavarat = (Alkukassa + tulot + rahoitus) - kassastamaksu</t>
  </si>
  <si>
    <r>
      <rPr>
        <b/>
        <sz val="14"/>
        <color theme="1"/>
        <rFont val="Arial"/>
        <family val="2"/>
      </rPr>
      <t>Arvonlisävero toissa jaksolta:
Negatiivinen luku = alv palautus verottajalta.
Positiivinen luku = maksettava alv verottajalle.</t>
    </r>
    <r>
      <rPr>
        <sz val="14"/>
        <color theme="1"/>
        <rFont val="Arial"/>
        <family val="2"/>
      </rPr>
      <t xml:space="preserve">
Arvonlisäveron (alv) ilmoitus- ja maksupäivä on 12. päivä sitä kuuta, joka on toinen kuukausi verokauden päättymisen jälkeen. Eli esim. tammikuun alv maksetaan maaliskuun 12.päivään mennessä. HUOM! Arvonlisäveron osalta tämä laskelma on yksinkertaistettu. Myös muiden tulonhankkimiskulujen (kuin ostojen) alv:t voi vähentää arvonlisäverotuksessa.</t>
    </r>
  </si>
  <si>
    <r>
      <t>Arvonlisävero toissa jaksolta:
Negatiivinen luku = alv palautus verottajalta.
Positiivinen luku = maksettava alv verottajalle.</t>
    </r>
    <r>
      <rPr>
        <sz val="14"/>
        <color theme="1"/>
        <rFont val="Arial"/>
        <family val="2"/>
      </rPr>
      <t xml:space="preserve">
Arvonlisäveron (alv) ilmoitus- ja maksupäivä on 12. päivä sitä kuuta, joka on toinen kuukausi verokauden päättymisen jälkeen. Eli esim. tammikuun alv maksetaan maaliskuun 12.päivään mennessä. HUOM! Arvonlisäveron osalta tämä laskelma on yksinkertaistettu. Myös muiden tulonhankkimiskulujen (kuin ostojen) alv:t voi vähentää arvonlisäverotuksessa.</t>
    </r>
  </si>
  <si>
    <t>Valmiina olevat työvälineet</t>
  </si>
  <si>
    <t>Internetsivut, markkinointi, esitteet (sis. SEO jne)</t>
  </si>
  <si>
    <r>
      <rPr>
        <b/>
        <sz val="14"/>
        <color theme="1"/>
        <rFont val="Arial"/>
        <family val="2"/>
      </rPr>
      <t xml:space="preserve">Valmiina olevat työvälineet: </t>
    </r>
    <r>
      <rPr>
        <sz val="14"/>
        <color theme="1"/>
        <rFont val="Arial"/>
        <family val="2"/>
      </rPr>
      <t>Laita tähän jo mahdollisesti liiketoimintaasi varten valmiina olevien työvälineiden arvioitu arvo. Laskelma siirtää automaattisesti niiden arvon myös "Rahan lähteet"-taulukkoon "Omat työvälineet" kohtaan.</t>
    </r>
  </si>
  <si>
    <t>Myyntikatetarve (minimi)</t>
  </si>
  <si>
    <t>Kannattavuuslaskelma välilehti. Tällä välilehdellä voit kirjata tavoitetulokset ja kiinteät kulut minimi-liikevaihdon selvittämiseksi. Välilehden pohjalla on "Ohjeet kannattavuuslaskelmaan", jossa on tarkemmat ohjeet tiettyjen solujen täyttöön. Ohjeet myös solujen muistiinpanoissa. Verohallinnon sivujen veroprosenttilaskurilla voit laskea veroprosenttisi tarkemmin. Tällä välilehdellä on 6 taulukkoa: "Tavoitetulos"-taulukko, "Yritystoiminnan kiinteät kulut"-taulukko, "Myyntikatetarve"-taulukko, "Myyntikatetarve (minimi)"-taulukko, "Kolmen vuoden kasvuprosentti"-taulukko, ja "Kolmen vuoden tuloslaskelma"-taulukko. Täytä "Tavoitetulos"- ja "Yritystoiminnan kiinteät kulut" -taulukoissa "Kuukaudessa"-sarakkeen tyhjät solut, loput sarakkeet täyttyvät näiden pohjalta. "Laskutustavoite"-taulukko täyttyy automaattisesti. Täytä tai muuta "Kolmen vuoden kasvuprosentti"-taulukko, ja täytä "Kolmen vuoden tuloslaskelma"-taulukosta "Poistot"-rivi ja "Satunnaiset tuotot/kulut"-rivit, loput rivit täyttyvät automaattisesti.</t>
  </si>
  <si>
    <t>Kuukausikatetarve, €/kk (esim. 11 kk/v)</t>
  </si>
  <si>
    <t>Päiväkatetarve, €/pv (esim. 20 pv/kk)</t>
  </si>
  <si>
    <t>Tuntikatetarve, €/h (esim. 8 h/pv)</t>
  </si>
  <si>
    <r>
      <rPr>
        <b/>
        <sz val="14"/>
        <color theme="1"/>
        <rFont val="Arial"/>
        <family val="2"/>
      </rPr>
      <t xml:space="preserve">Myyntikatetarve (minimi): </t>
    </r>
    <r>
      <rPr>
        <sz val="14"/>
        <color theme="1"/>
        <rFont val="Arial"/>
        <family val="2"/>
      </rPr>
      <t>Tämän avulla voit laskea yrityksen 
kuukausi-, päivä- ja tuntilaskutustarpeen. Ota huomioon että yritys ei aina pysty laskuttamaan täysiä kuukausia, päiviä tai tunteja. Arvioi kuinka monta päivää tai tuntia yrityksesi pystyy laskuttamaan asiakkailtaan kuukaudessa.</t>
    </r>
  </si>
  <si>
    <r>
      <rPr>
        <b/>
        <sz val="14"/>
        <color theme="1"/>
        <rFont val="Arial"/>
        <family val="2"/>
      </rPr>
      <t>Yrityksen perustamismenot:</t>
    </r>
    <r>
      <rPr>
        <sz val="14"/>
        <color theme="1"/>
        <rFont val="Arial"/>
        <family val="2"/>
      </rPr>
      <t xml:space="preserve"> Toiminimen rekisteröinti maksaa 75 €, osakeyhtiön rekisteröinti maksaa 300 €. Perustamismenoihin voidaan sisällyttää myös esim. osakassopimuksen laatimisesta tai toimialakohtaisista luvista aiheutuvia kuluja.</t>
    </r>
  </si>
  <si>
    <r>
      <rPr>
        <b/>
        <sz val="14"/>
        <color theme="1"/>
        <rFont val="Arial"/>
        <family val="2"/>
      </rPr>
      <t>Yrittäjän eläkevakuutus:</t>
    </r>
    <r>
      <rPr>
        <sz val="14"/>
        <color theme="1"/>
        <rFont val="Arial"/>
        <family val="2"/>
      </rPr>
      <t xml:space="preserve"> Yrittäjän eläkevakuutusmaksu (YEL) on pakollinen ja arvioidaan yrittäjän omasta YEL-työtulosta. Uusi yrittäjä saa 22 %:n alennuksen 48 ensimmäiseltä kuukaudelta. Esimerkiksi 15 481 €:n vuosityötulosta otettuna alennettu YEL-kuukausimaksu alle 53-vuotiaalle on 246 €/kk. Työntekijän eläkevakuutus (TyEL) on pakollinen silloin, kun yritykseen otetaan palkattu työntekijä.</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</si>
</sst>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7" formatCode="#,##0.00\ &quot;€&quot;;\-#,##0.00\ &quot;€&quot;"/>
    <numFmt numFmtId="164" formatCode="#,##0\ &quot;€&quot;"/>
    <numFmt numFmtId="165" formatCode="#,##0.00\ &quot;€&quot;"/>
    <numFmt numFmtId="166" formatCode="0.0"/>
  </numFmts>
  <fonts count="18" x14ac:knownFonts="1">
    <font>
      <sz val="12"/>
      <color theme="1"/>
      <name val="Calibri"/>
      <family val="2"/>
      <scheme val="minor"/>
    </font>
    <font>
      <b/>
      <sz val="16"/>
      <color theme="1"/>
      <name val="Arial"/>
      <family val="2"/>
    </font>
    <font>
      <sz val="14"/>
      <color theme="1"/>
      <name val="Arial"/>
      <family val="2"/>
    </font>
    <font>
      <sz val="12"/>
      <color rgb="FF000000"/>
      <name val="Arial"/>
      <family val="34"/>
    </font>
    <font>
      <b/>
      <sz val="12"/>
      <color rgb="FF000000"/>
      <name val="Arial"/>
      <family val="34"/>
    </font>
    <font>
      <b/>
      <sz val="14"/>
      <color theme="0"/>
      <name val="Arial"/>
      <family val="2"/>
    </font>
    <font>
      <sz val="12"/>
      <color rgb="FF000000"/>
      <name val="Calibri"/>
      <family val="2"/>
    </font>
    <font>
      <i/>
      <sz val="14"/>
      <color theme="0"/>
      <name val="Arial"/>
      <family val="2"/>
    </font>
    <font>
      <sz val="14"/>
      <color theme="0"/>
      <name val="Arial"/>
      <family val="2"/>
    </font>
    <font>
      <b/>
      <sz val="14"/>
      <color theme="1"/>
      <name val="Arial"/>
      <family val="2"/>
    </font>
    <font>
      <b/>
      <sz val="14"/>
      <name val="Arial"/>
      <family val="2"/>
    </font>
    <font>
      <i/>
      <sz val="14"/>
      <color theme="4" tint="0.79998168889431442"/>
      <name val="Arial"/>
      <family val="2"/>
    </font>
    <font>
      <i/>
      <sz val="14"/>
      <color theme="1"/>
      <name val="Arial"/>
      <family val="2"/>
    </font>
    <font>
      <sz val="14"/>
      <color rgb="FF000000"/>
      <name val="Arial"/>
      <family val="2"/>
    </font>
    <font>
      <sz val="8"/>
      <name val="Calibri"/>
      <family val="2"/>
      <scheme val="minor"/>
    </font>
    <font>
      <u/>
      <sz val="12"/>
      <color theme="10"/>
      <name val="Calibri"/>
      <family val="2"/>
      <scheme val="minor"/>
    </font>
    <font>
      <u/>
      <sz val="14"/>
      <color theme="10"/>
      <name val="Arial"/>
      <family val="2"/>
    </font>
    <font>
      <sz val="10"/>
      <name val="Arial"/>
      <family val="2"/>
    </font>
  </fonts>
  <fills count="8">
    <fill>
      <patternFill patternType="none"/>
    </fill>
    <fill>
      <patternFill patternType="gray125"/>
    </fill>
    <fill>
      <patternFill patternType="solid">
        <fgColor theme="4" tint="0.79998168889431442"/>
        <bgColor indexed="64"/>
      </patternFill>
    </fill>
    <fill>
      <patternFill patternType="solid">
        <fgColor theme="4" tint="-0.499984740745262"/>
        <bgColor indexed="64"/>
      </patternFill>
    </fill>
    <fill>
      <patternFill patternType="solid">
        <fgColor theme="7" tint="0.79998168889431442"/>
        <bgColor indexed="64"/>
      </patternFill>
    </fill>
    <fill>
      <patternFill patternType="solid">
        <fgColor theme="0"/>
        <bgColor indexed="64"/>
      </patternFill>
    </fill>
    <fill>
      <patternFill patternType="solid">
        <fgColor rgb="FFF1DBFF"/>
        <bgColor indexed="64"/>
      </patternFill>
    </fill>
    <fill>
      <patternFill patternType="solid">
        <fgColor rgb="FFFFFBF2"/>
        <bgColor indexed="64"/>
      </patternFill>
    </fill>
  </fills>
  <borders count="105">
    <border>
      <left/>
      <right/>
      <top/>
      <bottom/>
      <diagonal/>
    </border>
    <border>
      <left/>
      <right/>
      <top style="thin">
        <color theme="4" tint="0.39997558519241921"/>
      </top>
      <bottom style="thin">
        <color theme="4" tint="0.39997558519241921"/>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4" tint="0.39997558519241921"/>
      </top>
      <bottom style="thin">
        <color theme="4" tint="0.39997558519241921"/>
      </bottom>
      <diagonal/>
    </border>
    <border>
      <left style="thin">
        <color theme="4" tint="0.39997558519241921"/>
      </left>
      <right style="thin">
        <color theme="4" tint="0.39994506668294322"/>
      </right>
      <top style="thin">
        <color theme="0"/>
      </top>
      <bottom/>
      <diagonal/>
    </border>
    <border>
      <left style="thin">
        <color theme="4" tint="0.39994506668294322"/>
      </left>
      <right style="thin">
        <color theme="4" tint="0.39994506668294322"/>
      </right>
      <top style="thin">
        <color theme="0"/>
      </top>
      <bottom/>
      <diagonal/>
    </border>
    <border>
      <left style="thin">
        <color theme="4" tint="0.39994506668294322"/>
      </left>
      <right style="thin">
        <color theme="4" tint="0.39997558519241921"/>
      </right>
      <top style="thin">
        <color theme="0"/>
      </top>
      <bottom/>
      <diagonal/>
    </border>
    <border>
      <left style="thin">
        <color theme="4" tint="0.39997558519241921"/>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4506668294322"/>
      </right>
      <top style="thin">
        <color theme="4" tint="0.39997558519241921"/>
      </top>
      <bottom style="thin">
        <color theme="4" tint="0.39997558519241921"/>
      </bottom>
      <diagonal/>
    </border>
    <border>
      <left style="thin">
        <color theme="4" tint="0.39994506668294322"/>
      </left>
      <right style="thin">
        <color theme="4" tint="0.39997558519241921"/>
      </right>
      <top style="thin">
        <color theme="4" tint="0.39997558519241921"/>
      </top>
      <bottom style="thin">
        <color theme="4" tint="0.39997558519241921"/>
      </bottom>
      <diagonal/>
    </border>
    <border>
      <left/>
      <right style="thin">
        <color theme="4" tint="0.39994506668294322"/>
      </right>
      <top style="thin">
        <color theme="0"/>
      </top>
      <bottom style="thin">
        <color theme="4" tint="0.39994506668294322"/>
      </bottom>
      <diagonal/>
    </border>
    <border>
      <left style="thin">
        <color theme="4" tint="0.39994506668294322"/>
      </left>
      <right style="thin">
        <color theme="4" tint="0.39994506668294322"/>
      </right>
      <top style="thin">
        <color theme="0"/>
      </top>
      <bottom style="thin">
        <color theme="4" tint="0.39994506668294322"/>
      </bottom>
      <diagonal/>
    </border>
    <border>
      <left style="thin">
        <color theme="4" tint="0.39994506668294322"/>
      </left>
      <right style="thin">
        <color theme="0"/>
      </right>
      <top style="thin">
        <color theme="0"/>
      </top>
      <bottom style="thin">
        <color theme="4" tint="0.39994506668294322"/>
      </bottom>
      <diagonal/>
    </border>
    <border>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39994506668294322"/>
      </left>
      <right style="thin">
        <color theme="0"/>
      </right>
      <top style="thin">
        <color theme="4" tint="0.39994506668294322"/>
      </top>
      <bottom style="thin">
        <color theme="4" tint="0.39994506668294322"/>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style="thin">
        <color theme="4" tint="0.39994506668294322"/>
      </right>
      <top style="thin">
        <color theme="4" tint="0.39994506668294322"/>
      </top>
      <bottom style="thin">
        <color theme="0"/>
      </bottom>
      <diagonal/>
    </border>
    <border>
      <left style="thin">
        <color theme="4" tint="0.39994506668294322"/>
      </left>
      <right style="thin">
        <color theme="4" tint="0.39994506668294322"/>
      </right>
      <top style="thin">
        <color theme="4" tint="0.39994506668294322"/>
      </top>
      <bottom style="thin">
        <color theme="0"/>
      </bottom>
      <diagonal/>
    </border>
    <border>
      <left style="thin">
        <color theme="4" tint="0.39994506668294322"/>
      </left>
      <right style="thin">
        <color theme="0"/>
      </right>
      <top style="thin">
        <color theme="4" tint="0.39994506668294322"/>
      </top>
      <bottom style="thin">
        <color theme="0"/>
      </bottom>
      <diagonal/>
    </border>
    <border>
      <left style="thin">
        <color theme="4" tint="0.39994506668294322"/>
      </left>
      <right style="thin">
        <color theme="4" tint="0.39994506668294322"/>
      </right>
      <top style="thin">
        <color theme="4" tint="0.39994506668294322"/>
      </top>
      <bottom/>
      <diagonal/>
    </border>
    <border>
      <left/>
      <right style="thin">
        <color theme="4" tint="0.39994506668294322"/>
      </right>
      <top style="thin">
        <color theme="4" tint="0.39994506668294322"/>
      </top>
      <bottom/>
      <diagonal/>
    </border>
    <border>
      <left style="thin">
        <color theme="4" tint="0.39994506668294322"/>
      </left>
      <right style="thin">
        <color theme="0"/>
      </right>
      <top style="thin">
        <color theme="4" tint="0.39994506668294322"/>
      </top>
      <bottom/>
      <diagonal/>
    </border>
    <border>
      <left/>
      <right style="thin">
        <color theme="4" tint="0.39994506668294322"/>
      </right>
      <top style="dashDot">
        <color theme="4" tint="0.39997558519241921"/>
      </top>
      <bottom style="thin">
        <color theme="4" tint="0.39994506668294322"/>
      </bottom>
      <diagonal/>
    </border>
    <border>
      <left style="thin">
        <color theme="4" tint="0.39994506668294322"/>
      </left>
      <right style="thin">
        <color theme="4" tint="0.39994506668294322"/>
      </right>
      <top style="dashDot">
        <color theme="4" tint="0.39997558519241921"/>
      </top>
      <bottom style="thin">
        <color theme="4" tint="0.39994506668294322"/>
      </bottom>
      <diagonal/>
    </border>
    <border>
      <left style="thin">
        <color theme="4" tint="0.39994506668294322"/>
      </left>
      <right style="thin">
        <color theme="0"/>
      </right>
      <top style="dashDot">
        <color theme="4" tint="0.39997558519241921"/>
      </top>
      <bottom style="thin">
        <color theme="4" tint="0.39994506668294322"/>
      </bottom>
      <diagonal/>
    </border>
    <border>
      <left style="thin">
        <color theme="4" tint="0.39997558519241921"/>
      </left>
      <right style="thin">
        <color theme="4" tint="0.39994506668294322"/>
      </right>
      <top style="thin">
        <color theme="4" tint="0.39997558519241921"/>
      </top>
      <bottom style="medium">
        <color theme="4"/>
      </bottom>
      <diagonal/>
    </border>
    <border>
      <left style="thin">
        <color theme="4" tint="0.39994506668294322"/>
      </left>
      <right style="thin">
        <color theme="4" tint="0.39994506668294322"/>
      </right>
      <top style="thin">
        <color theme="4" tint="0.39997558519241921"/>
      </top>
      <bottom style="medium">
        <color theme="4"/>
      </bottom>
      <diagonal/>
    </border>
    <border>
      <left/>
      <right style="thin">
        <color theme="4" tint="0.39994506668294322"/>
      </right>
      <top style="thin">
        <color theme="4" tint="0.39994506668294322"/>
      </top>
      <bottom style="medium">
        <color theme="4"/>
      </bottom>
      <diagonal/>
    </border>
    <border>
      <left style="thin">
        <color theme="4" tint="0.39994506668294322"/>
      </left>
      <right style="thin">
        <color theme="4" tint="0.39994506668294322"/>
      </right>
      <top style="thin">
        <color theme="4" tint="0.39994506668294322"/>
      </top>
      <bottom style="medium">
        <color theme="4"/>
      </bottom>
      <diagonal/>
    </border>
    <border>
      <left style="thin">
        <color theme="4" tint="0.39994506668294322"/>
      </left>
      <right style="thin">
        <color theme="0"/>
      </right>
      <top style="thin">
        <color theme="4" tint="0.39994506668294322"/>
      </top>
      <bottom style="medium">
        <color theme="4"/>
      </bottom>
      <diagonal/>
    </border>
    <border>
      <left/>
      <right style="thin">
        <color theme="0"/>
      </right>
      <top style="thin">
        <color theme="4" tint="0.39997558519241921"/>
      </top>
      <bottom style="medium">
        <color theme="4"/>
      </bottom>
      <diagonal/>
    </border>
    <border>
      <left/>
      <right/>
      <top style="thin">
        <color theme="4" tint="0.39997558519241921"/>
      </top>
      <bottom style="medium">
        <color theme="4"/>
      </bottom>
      <diagonal/>
    </border>
    <border>
      <left style="thin">
        <color theme="4" tint="0.39994506668294322"/>
      </left>
      <right style="thin">
        <color theme="4" tint="0.39997558519241921"/>
      </right>
      <top style="thin">
        <color theme="4" tint="0.39997558519241921"/>
      </top>
      <bottom style="medium">
        <color theme="4"/>
      </bottom>
      <diagonal/>
    </border>
    <border>
      <left style="thin">
        <color theme="4" tint="0.39994506668294322"/>
      </left>
      <right style="thin">
        <color theme="0"/>
      </right>
      <top/>
      <bottom style="thin">
        <color theme="4" tint="0.39994506668294322"/>
      </bottom>
      <diagonal/>
    </border>
    <border>
      <left/>
      <right style="thin">
        <color theme="4" tint="0.79998168889431442"/>
      </right>
      <top style="thin">
        <color theme="0"/>
      </top>
      <bottom style="thin">
        <color theme="4" tint="0.39994506668294322"/>
      </bottom>
      <diagonal/>
    </border>
    <border>
      <left style="thin">
        <color theme="4" tint="0.79998168889431442"/>
      </left>
      <right style="thin">
        <color theme="0"/>
      </right>
      <top style="thin">
        <color theme="0"/>
      </top>
      <bottom style="thin">
        <color theme="4" tint="0.39994506668294322"/>
      </bottom>
      <diagonal/>
    </border>
    <border>
      <left/>
      <right style="thin">
        <color theme="4" tint="0.79998168889431442"/>
      </right>
      <top style="thin">
        <color theme="4" tint="0.39994506668294322"/>
      </top>
      <bottom style="thin">
        <color theme="4" tint="0.39994506668294322"/>
      </bottom>
      <diagonal/>
    </border>
    <border>
      <left style="thin">
        <color theme="4" tint="0.79998168889431442"/>
      </left>
      <right style="thin">
        <color theme="0"/>
      </right>
      <top style="thin">
        <color theme="4" tint="0.39994506668294322"/>
      </top>
      <bottom style="thin">
        <color theme="4" tint="0.39994506668294322"/>
      </bottom>
      <diagonal/>
    </border>
    <border>
      <left style="thin">
        <color theme="0"/>
      </left>
      <right style="thin">
        <color theme="0"/>
      </right>
      <top style="medium">
        <color theme="4"/>
      </top>
      <bottom style="thin">
        <color theme="0"/>
      </bottom>
      <diagonal/>
    </border>
    <border>
      <left/>
      <right style="thin">
        <color theme="0"/>
      </right>
      <top style="medium">
        <color theme="4"/>
      </top>
      <bottom style="thin">
        <color theme="0"/>
      </bottom>
      <diagonal/>
    </border>
    <border>
      <left style="thin">
        <color theme="4" tint="0.39994506668294322"/>
      </left>
      <right/>
      <top style="thin">
        <color theme="4" tint="0.39994506668294322"/>
      </top>
      <bottom style="thin">
        <color theme="4" tint="0.39994506668294322"/>
      </bottom>
      <diagonal/>
    </border>
    <border>
      <left/>
      <right/>
      <top style="thin">
        <color theme="0"/>
      </top>
      <bottom style="thin">
        <color theme="4" tint="0.39994506668294322"/>
      </bottom>
      <diagonal/>
    </border>
    <border>
      <left/>
      <right/>
      <top style="thin">
        <color theme="4" tint="0.39994506668294322"/>
      </top>
      <bottom style="thin">
        <color theme="4" tint="0.39994506668294322"/>
      </bottom>
      <diagonal/>
    </border>
    <border>
      <left/>
      <right/>
      <top style="thin">
        <color theme="4" tint="0.39994506668294322"/>
      </top>
      <bottom/>
      <diagonal/>
    </border>
    <border>
      <left/>
      <right/>
      <top style="dashDot">
        <color theme="4" tint="0.39997558519241921"/>
      </top>
      <bottom style="thin">
        <color theme="4" tint="0.39994506668294322"/>
      </bottom>
      <diagonal/>
    </border>
    <border>
      <left/>
      <right/>
      <top style="thin">
        <color theme="4" tint="0.39994506668294322"/>
      </top>
      <bottom style="medium">
        <color theme="4"/>
      </bottom>
      <diagonal/>
    </border>
    <border>
      <left/>
      <right/>
      <top style="medium">
        <color theme="4"/>
      </top>
      <bottom/>
      <diagonal/>
    </border>
    <border>
      <left/>
      <right/>
      <top style="medium">
        <color theme="4"/>
      </top>
      <bottom style="medium">
        <color theme="4"/>
      </bottom>
      <diagonal/>
    </border>
    <border>
      <left/>
      <right style="thin">
        <color theme="0"/>
      </right>
      <top style="medium">
        <color theme="4"/>
      </top>
      <bottom style="medium">
        <color theme="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4" tint="0.39994506668294322"/>
      </bottom>
      <diagonal/>
    </border>
    <border>
      <left/>
      <right style="thin">
        <color theme="0"/>
      </right>
      <top style="thin">
        <color theme="4" tint="0.39994506668294322"/>
      </top>
      <bottom style="thin">
        <color theme="4" tint="0.39994506668294322"/>
      </bottom>
      <diagonal/>
    </border>
    <border>
      <left style="thick">
        <color theme="4" tint="-0.499984740745262"/>
      </left>
      <right/>
      <top style="thin">
        <color theme="0"/>
      </top>
      <bottom style="thin">
        <color theme="4" tint="0.39994506668294322"/>
      </bottom>
      <diagonal/>
    </border>
    <border>
      <left/>
      <right style="thick">
        <color theme="4" tint="-0.499984740745262"/>
      </right>
      <top style="thin">
        <color theme="0"/>
      </top>
      <bottom style="thin">
        <color theme="4" tint="0.39994506668294322"/>
      </bottom>
      <diagonal/>
    </border>
    <border>
      <left style="thick">
        <color theme="4" tint="-0.499984740745262"/>
      </left>
      <right style="thin">
        <color theme="4" tint="0.39994506668294322"/>
      </right>
      <top style="thin">
        <color theme="4" tint="0.39994506668294322"/>
      </top>
      <bottom style="medium">
        <color theme="4"/>
      </bottom>
      <diagonal/>
    </border>
    <border>
      <left/>
      <right style="thick">
        <color theme="4" tint="-0.499984740745262"/>
      </right>
      <top style="thin">
        <color theme="4" tint="0.39994506668294322"/>
      </top>
      <bottom style="medium">
        <color theme="4"/>
      </bottom>
      <diagonal/>
    </border>
    <border>
      <left style="thick">
        <color theme="4" tint="-0.499984740745262"/>
      </left>
      <right style="thin">
        <color theme="0"/>
      </right>
      <top/>
      <bottom style="thin">
        <color theme="0"/>
      </bottom>
      <diagonal/>
    </border>
    <border>
      <left style="thick">
        <color theme="4" tint="-0.499984740745262"/>
      </left>
      <right style="thin">
        <color theme="4" tint="0.39994506668294322"/>
      </right>
      <top style="thin">
        <color theme="0"/>
      </top>
      <bottom style="thin">
        <color theme="4" tint="0.39994506668294322"/>
      </bottom>
      <diagonal/>
    </border>
    <border>
      <left style="thin">
        <color theme="4" tint="0.39994506668294322"/>
      </left>
      <right style="thick">
        <color theme="4" tint="-0.499984740745262"/>
      </right>
      <top style="thin">
        <color theme="0"/>
      </top>
      <bottom style="thin">
        <color theme="4" tint="0.39994506668294322"/>
      </bottom>
      <diagonal/>
    </border>
    <border>
      <left style="thick">
        <color theme="4" tint="-0.499984740745262"/>
      </left>
      <right style="thin">
        <color theme="4" tint="0.39994506668294322"/>
      </right>
      <top style="thin">
        <color theme="4" tint="0.39994506668294322"/>
      </top>
      <bottom style="thin">
        <color theme="4" tint="0.39994506668294322"/>
      </bottom>
      <diagonal/>
    </border>
    <border>
      <left style="thin">
        <color theme="4" tint="0.39994506668294322"/>
      </left>
      <right style="thick">
        <color theme="4" tint="-0.499984740745262"/>
      </right>
      <top style="thin">
        <color theme="4" tint="0.39994506668294322"/>
      </top>
      <bottom style="thin">
        <color theme="4" tint="0.39994506668294322"/>
      </bottom>
      <diagonal/>
    </border>
    <border>
      <left style="thick">
        <color theme="4" tint="-0.499984740745262"/>
      </left>
      <right style="thin">
        <color theme="4" tint="0.39994506668294322"/>
      </right>
      <top style="thin">
        <color theme="4" tint="0.39994506668294322"/>
      </top>
      <bottom/>
      <diagonal/>
    </border>
    <border>
      <left style="thin">
        <color theme="4" tint="0.39994506668294322"/>
      </left>
      <right style="thick">
        <color theme="4" tint="-0.499984740745262"/>
      </right>
      <top style="thin">
        <color theme="4" tint="0.39994506668294322"/>
      </top>
      <bottom/>
      <diagonal/>
    </border>
    <border>
      <left style="thick">
        <color theme="4" tint="-0.499984740745262"/>
      </left>
      <right style="thin">
        <color theme="4" tint="0.39994506668294322"/>
      </right>
      <top style="dashDot">
        <color theme="4" tint="0.39997558519241921"/>
      </top>
      <bottom style="thin">
        <color theme="4" tint="0.39994506668294322"/>
      </bottom>
      <diagonal/>
    </border>
    <border>
      <left style="thin">
        <color theme="4" tint="0.39994506668294322"/>
      </left>
      <right style="thick">
        <color theme="4" tint="-0.499984740745262"/>
      </right>
      <top style="dashDot">
        <color theme="4" tint="0.39997558519241921"/>
      </top>
      <bottom style="thin">
        <color theme="4" tint="0.39994506668294322"/>
      </bottom>
      <diagonal/>
    </border>
    <border>
      <left style="thick">
        <color theme="4" tint="-0.499984740745262"/>
      </left>
      <right style="thin">
        <color theme="0"/>
      </right>
      <top/>
      <bottom/>
      <diagonal/>
    </border>
    <border>
      <left style="medium">
        <color theme="0"/>
      </left>
      <right style="thick">
        <color theme="4" tint="-0.499984740745262"/>
      </right>
      <top style="medium">
        <color theme="4"/>
      </top>
      <bottom/>
      <diagonal/>
    </border>
    <border>
      <left style="thick">
        <color theme="4" tint="-0.499984740745262"/>
      </left>
      <right style="medium">
        <color theme="0"/>
      </right>
      <top style="medium">
        <color theme="4"/>
      </top>
      <bottom/>
      <diagonal/>
    </border>
    <border>
      <left style="thick">
        <color theme="4" tint="-0.499984740745262"/>
      </left>
      <right style="thin">
        <color theme="0"/>
      </right>
      <top style="thin">
        <color theme="0"/>
      </top>
      <bottom style="thin">
        <color theme="0"/>
      </bottom>
      <diagonal/>
    </border>
    <border>
      <left style="thick">
        <color theme="4" tint="-0.499984740745262"/>
      </left>
      <right style="medium">
        <color theme="0"/>
      </right>
      <top style="medium">
        <color theme="4"/>
      </top>
      <bottom style="thin">
        <color theme="0"/>
      </bottom>
      <diagonal/>
    </border>
    <border>
      <left style="thick">
        <color theme="0"/>
      </left>
      <right/>
      <top style="thin">
        <color theme="4" tint="0.39994506668294322"/>
      </top>
      <bottom style="thin">
        <color theme="0"/>
      </bottom>
      <diagonal/>
    </border>
    <border>
      <left/>
      <right style="thick">
        <color theme="0"/>
      </right>
      <top style="thin">
        <color theme="4" tint="0.39994506668294322"/>
      </top>
      <bottom style="thin">
        <color theme="0"/>
      </bottom>
      <diagonal/>
    </border>
    <border>
      <left style="thick">
        <color theme="0"/>
      </left>
      <right style="thin">
        <color theme="0"/>
      </right>
      <top/>
      <bottom style="thin">
        <color theme="0"/>
      </bottom>
      <diagonal/>
    </border>
    <border>
      <left style="thin">
        <color theme="0"/>
      </left>
      <right style="thick">
        <color theme="0"/>
      </right>
      <top/>
      <bottom style="thin">
        <color theme="0"/>
      </bottom>
      <diagonal/>
    </border>
    <border>
      <left/>
      <right style="thin">
        <color theme="0"/>
      </right>
      <top style="thin">
        <color theme="4" tint="0.39994506668294322"/>
      </top>
      <bottom/>
      <diagonal/>
    </border>
    <border>
      <left/>
      <right style="thin">
        <color theme="0"/>
      </right>
      <top style="dashDot">
        <color theme="4" tint="0.39997558519241921"/>
      </top>
      <bottom style="thin">
        <color theme="4" tint="0.39994506668294322"/>
      </bottom>
      <diagonal/>
    </border>
    <border>
      <left style="thick">
        <color theme="4" tint="-0.499984740745262"/>
      </left>
      <right style="thin">
        <color theme="0"/>
      </right>
      <top style="medium">
        <color theme="4"/>
      </top>
      <bottom/>
      <diagonal/>
    </border>
    <border>
      <left/>
      <right style="thin">
        <color theme="4" tint="0.39994506668294322"/>
      </right>
      <top style="thin">
        <color theme="0"/>
      </top>
      <bottom/>
      <diagonal/>
    </border>
    <border>
      <left/>
      <right/>
      <top style="thin">
        <color theme="4" tint="0.39997558519241921"/>
      </top>
      <bottom/>
      <diagonal/>
    </border>
    <border>
      <left/>
      <right/>
      <top style="medium">
        <color theme="8" tint="-0.24994659260841701"/>
      </top>
      <bottom/>
      <diagonal/>
    </border>
    <border>
      <left style="thin">
        <color theme="0"/>
      </left>
      <right style="thin">
        <color theme="0"/>
      </right>
      <top style="medium">
        <color theme="8" tint="-0.24994659260841701"/>
      </top>
      <bottom/>
      <diagonal/>
    </border>
    <border>
      <left/>
      <right/>
      <top style="thin">
        <color theme="8" tint="-0.24994659260841701"/>
      </top>
      <bottom style="thin">
        <color theme="4" tint="0.39997558519241921"/>
      </bottom>
      <diagonal/>
    </border>
    <border>
      <left style="thin">
        <color theme="0"/>
      </left>
      <right style="thin">
        <color theme="0"/>
      </right>
      <top style="thin">
        <color theme="8" tint="-0.24994659260841701"/>
      </top>
      <bottom/>
      <diagonal/>
    </border>
    <border>
      <left/>
      <right style="thin">
        <color theme="4" tint="0.39994506668294322"/>
      </right>
      <top style="thin">
        <color theme="8" tint="-0.24994659260841701"/>
      </top>
      <bottom style="thin">
        <color theme="0"/>
      </bottom>
      <diagonal/>
    </border>
    <border>
      <left/>
      <right style="thin">
        <color theme="0"/>
      </right>
      <top style="medium">
        <color theme="8" tint="-0.24994659260841701"/>
      </top>
      <bottom/>
      <diagonal/>
    </border>
    <border>
      <left style="thin">
        <color theme="0"/>
      </left>
      <right style="thin">
        <color theme="0"/>
      </right>
      <top style="medium">
        <color theme="8" tint="-0.24994659260841701"/>
      </top>
      <bottom style="thin">
        <color theme="0"/>
      </bottom>
      <diagonal/>
    </border>
    <border>
      <left/>
      <right style="thin">
        <color theme="0"/>
      </right>
      <top style="medium">
        <color theme="8" tint="-0.24994659260841701"/>
      </top>
      <bottom style="thin">
        <color theme="0"/>
      </bottom>
      <diagonal/>
    </border>
    <border>
      <left style="thin">
        <color theme="0"/>
      </left>
      <right style="thin">
        <color theme="0"/>
      </right>
      <top style="thin">
        <color theme="8" tint="-0.24994659260841701"/>
      </top>
      <bottom style="thin">
        <color theme="0"/>
      </bottom>
      <diagonal/>
    </border>
    <border>
      <left style="thin">
        <color theme="0"/>
      </left>
      <right/>
      <top style="thin">
        <color theme="8" tint="-0.24994659260841701"/>
      </top>
      <bottom/>
      <diagonal/>
    </border>
    <border>
      <left/>
      <right style="thin">
        <color theme="0"/>
      </right>
      <top style="thin">
        <color theme="8" tint="-0.24994659260841701"/>
      </top>
      <bottom/>
      <diagonal/>
    </border>
    <border>
      <left style="thin">
        <color theme="0"/>
      </left>
      <right style="thin">
        <color theme="0"/>
      </right>
      <top style="thin">
        <color theme="0"/>
      </top>
      <bottom style="thin">
        <color theme="8" tint="-0.249977111117893"/>
      </bottom>
      <diagonal/>
    </border>
    <border>
      <left/>
      <right style="thin">
        <color theme="0"/>
      </right>
      <top style="medium">
        <color theme="4"/>
      </top>
      <bottom/>
      <diagonal/>
    </border>
    <border>
      <left style="thin">
        <color theme="0"/>
      </left>
      <right/>
      <top style="medium">
        <color theme="4"/>
      </top>
      <bottom/>
      <diagonal/>
    </border>
  </borders>
  <cellStyleXfs count="2">
    <xf numFmtId="0" fontId="0" fillId="0" borderId="0"/>
    <xf numFmtId="0" fontId="15" fillId="0" borderId="0" applyNumberFormat="0" applyFill="0" applyBorder="0" applyAlignment="0" applyProtection="0"/>
  </cellStyleXfs>
  <cellXfs count="211">
    <xf numFmtId="0" fontId="0" fillId="0" borderId="0" xfId="0"/>
    <xf numFmtId="0" fontId="1" fillId="0" borderId="2" xfId="0" applyFont="1" applyBorder="1" applyAlignment="1" applyProtection="1">
      <alignment vertical="top"/>
      <protection locked="0"/>
    </xf>
    <xf numFmtId="0" fontId="2" fillId="0" borderId="2" xfId="0" applyFont="1" applyBorder="1" applyAlignment="1" applyProtection="1">
      <alignment vertical="top"/>
      <protection locked="0"/>
    </xf>
    <xf numFmtId="0" fontId="1" fillId="0" borderId="2" xfId="0" applyFont="1" applyBorder="1" applyAlignment="1" applyProtection="1">
      <alignment vertical="top" wrapText="1"/>
      <protection locked="0"/>
    </xf>
    <xf numFmtId="0" fontId="7" fillId="0" borderId="2" xfId="0" applyFont="1" applyBorder="1" applyAlignment="1" applyProtection="1">
      <alignment vertical="top"/>
      <protection locked="0"/>
    </xf>
    <xf numFmtId="0" fontId="8" fillId="0" borderId="2" xfId="0" applyFont="1" applyBorder="1" applyAlignment="1" applyProtection="1">
      <alignment vertical="top"/>
      <protection locked="0"/>
    </xf>
    <xf numFmtId="0" fontId="9" fillId="0" borderId="2" xfId="0" applyFont="1" applyBorder="1" applyAlignment="1" applyProtection="1">
      <alignment vertical="top"/>
      <protection locked="0"/>
    </xf>
    <xf numFmtId="0" fontId="2" fillId="0" borderId="2" xfId="0" applyFont="1" applyBorder="1" applyAlignment="1" applyProtection="1">
      <alignment vertical="top" wrapText="1"/>
      <protection locked="0"/>
    </xf>
    <xf numFmtId="0" fontId="2" fillId="0" borderId="4" xfId="0" applyFont="1" applyBorder="1" applyAlignment="1" applyProtection="1">
      <alignment vertical="center" wrapText="1"/>
      <protection locked="0"/>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18" xfId="0" applyFont="1" applyBorder="1" applyAlignment="1" applyProtection="1">
      <alignment vertical="top"/>
      <protection locked="0"/>
    </xf>
    <xf numFmtId="0" fontId="2" fillId="0" borderId="21" xfId="0" quotePrefix="1" applyFont="1" applyBorder="1" applyAlignment="1" applyProtection="1">
      <alignment vertical="top"/>
      <protection locked="0"/>
    </xf>
    <xf numFmtId="0" fontId="10" fillId="5" borderId="21" xfId="0" quotePrefix="1" applyFont="1" applyFill="1" applyBorder="1" applyAlignment="1" applyProtection="1">
      <alignment vertical="top"/>
      <protection locked="0"/>
    </xf>
    <xf numFmtId="0" fontId="9" fillId="5" borderId="21" xfId="0" quotePrefix="1" applyFont="1" applyFill="1" applyBorder="1" applyAlignment="1" applyProtection="1">
      <alignment vertical="top"/>
      <protection locked="0"/>
    </xf>
    <xf numFmtId="0" fontId="2" fillId="0" borderId="38" xfId="0" quotePrefix="1" applyFont="1" applyBorder="1" applyAlignment="1" applyProtection="1">
      <alignment vertical="top"/>
      <protection locked="0"/>
    </xf>
    <xf numFmtId="0" fontId="9" fillId="0" borderId="25" xfId="0" quotePrefix="1" applyFont="1" applyBorder="1" applyAlignment="1" applyProtection="1">
      <alignment vertical="top"/>
      <protection locked="0"/>
    </xf>
    <xf numFmtId="0" fontId="2" fillId="0" borderId="4" xfId="0" applyFont="1" applyBorder="1" applyAlignment="1" applyProtection="1">
      <alignment vertical="center"/>
      <protection locked="0"/>
    </xf>
    <xf numFmtId="0" fontId="2" fillId="0" borderId="21" xfId="0" applyFont="1" applyBorder="1" applyAlignment="1" applyProtection="1">
      <alignment vertical="top"/>
      <protection locked="0"/>
    </xf>
    <xf numFmtId="0" fontId="2" fillId="0" borderId="3" xfId="0" applyFont="1" applyBorder="1" applyAlignment="1" applyProtection="1">
      <alignment vertical="top"/>
      <protection locked="0"/>
    </xf>
    <xf numFmtId="0" fontId="2" fillId="0" borderId="38" xfId="0" applyFont="1" applyBorder="1" applyAlignment="1" applyProtection="1">
      <alignment vertical="top"/>
      <protection locked="0"/>
    </xf>
    <xf numFmtId="0" fontId="9" fillId="0" borderId="25" xfId="0" applyFont="1" applyBorder="1" applyAlignment="1" applyProtection="1">
      <alignment vertical="top"/>
      <protection locked="0"/>
    </xf>
    <xf numFmtId="0" fontId="9" fillId="5" borderId="18" xfId="0" applyFont="1" applyFill="1" applyBorder="1" applyAlignment="1" applyProtection="1">
      <alignment vertical="top"/>
      <protection locked="0"/>
    </xf>
    <xf numFmtId="0" fontId="9" fillId="0" borderId="25" xfId="0" quotePrefix="1" applyFont="1" applyBorder="1" applyAlignment="1" applyProtection="1">
      <alignment vertical="top" wrapText="1"/>
      <protection locked="0"/>
    </xf>
    <xf numFmtId="0" fontId="2" fillId="0" borderId="21" xfId="0" applyFont="1" applyBorder="1" applyAlignment="1" applyProtection="1">
      <alignment vertical="top" wrapText="1"/>
      <protection locked="0"/>
    </xf>
    <xf numFmtId="0" fontId="2" fillId="0" borderId="27" xfId="0" applyFont="1" applyBorder="1" applyAlignment="1" applyProtection="1">
      <alignment vertical="top"/>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9" fillId="5" borderId="21" xfId="0" applyFont="1" applyFill="1" applyBorder="1" applyAlignment="1" applyProtection="1">
      <alignment vertical="top"/>
      <protection locked="0"/>
    </xf>
    <xf numFmtId="0" fontId="11" fillId="2" borderId="46" xfId="0" applyFont="1" applyFill="1" applyBorder="1" applyAlignment="1" applyProtection="1">
      <alignment vertical="top"/>
      <protection locked="0"/>
    </xf>
    <xf numFmtId="0" fontId="12" fillId="2" borderId="44" xfId="0" applyFont="1" applyFill="1" applyBorder="1" applyAlignment="1" applyProtection="1">
      <alignment vertical="top"/>
      <protection locked="0"/>
    </xf>
    <xf numFmtId="49" fontId="12" fillId="2" borderId="23" xfId="0" applyNumberFormat="1" applyFont="1" applyFill="1" applyBorder="1" applyAlignment="1" applyProtection="1">
      <alignment vertical="top"/>
      <protection locked="0"/>
    </xf>
    <xf numFmtId="0" fontId="2" fillId="0" borderId="38" xfId="0" applyFont="1" applyBorder="1" applyAlignment="1" applyProtection="1">
      <alignment vertical="top" wrapText="1"/>
      <protection locked="0"/>
    </xf>
    <xf numFmtId="0" fontId="2" fillId="0" borderId="25" xfId="0" applyFont="1" applyBorder="1" applyAlignment="1" applyProtection="1">
      <alignment vertical="top" wrapText="1"/>
      <protection locked="0"/>
    </xf>
    <xf numFmtId="0" fontId="13" fillId="0" borderId="0" xfId="0" applyFont="1" applyAlignment="1" applyProtection="1">
      <alignment horizontal="left" vertical="top" readingOrder="1"/>
      <protection locked="0"/>
    </xf>
    <xf numFmtId="0" fontId="12" fillId="2" borderId="23" xfId="0" applyFont="1" applyFill="1" applyBorder="1" applyAlignment="1" applyProtection="1">
      <alignment vertical="top"/>
      <protection locked="0"/>
    </xf>
    <xf numFmtId="0" fontId="2" fillId="0" borderId="50" xfId="0" applyFont="1" applyBorder="1" applyAlignment="1" applyProtection="1">
      <alignment vertical="top"/>
      <protection locked="0"/>
    </xf>
    <xf numFmtId="0" fontId="2" fillId="0" borderId="7" xfId="0" applyFont="1" applyBorder="1" applyAlignment="1" applyProtection="1">
      <alignment vertical="top" wrapText="1"/>
      <protection locked="0"/>
    </xf>
    <xf numFmtId="0" fontId="12" fillId="0" borderId="2" xfId="0" applyFont="1" applyBorder="1" applyAlignment="1" applyProtection="1">
      <alignment vertical="top"/>
      <protection locked="0"/>
    </xf>
    <xf numFmtId="0" fontId="7" fillId="0" borderId="5" xfId="0" applyFont="1" applyBorder="1" applyAlignment="1" applyProtection="1">
      <alignment vertical="top"/>
      <protection locked="0"/>
    </xf>
    <xf numFmtId="0" fontId="2" fillId="0" borderId="31" xfId="0" applyFont="1" applyBorder="1" applyAlignment="1" applyProtection="1">
      <alignment vertical="top"/>
      <protection locked="0"/>
    </xf>
    <xf numFmtId="0" fontId="2" fillId="0" borderId="33" xfId="0" applyFont="1" applyBorder="1" applyAlignment="1" applyProtection="1">
      <alignment vertical="top"/>
      <protection locked="0"/>
    </xf>
    <xf numFmtId="0" fontId="9" fillId="0" borderId="2" xfId="0" applyFont="1" applyBorder="1" applyAlignment="1" applyProtection="1">
      <alignment horizontal="center" vertical="center" wrapText="1"/>
      <protection locked="0"/>
    </xf>
    <xf numFmtId="14" fontId="9" fillId="0" borderId="4" xfId="0" applyNumberFormat="1" applyFont="1" applyBorder="1" applyAlignment="1" applyProtection="1">
      <alignment vertical="center"/>
      <protection locked="0"/>
    </xf>
    <xf numFmtId="0" fontId="9" fillId="0" borderId="7" xfId="0" applyFont="1" applyBorder="1" applyAlignment="1" applyProtection="1">
      <alignment vertical="top"/>
      <protection locked="0"/>
    </xf>
    <xf numFmtId="0" fontId="2" fillId="0" borderId="10" xfId="0" applyFont="1" applyBorder="1" applyAlignment="1" applyProtection="1">
      <alignment vertical="top"/>
      <protection locked="0"/>
    </xf>
    <xf numFmtId="0" fontId="2" fillId="0" borderId="1" xfId="0" applyFont="1" applyBorder="1" applyAlignment="1" applyProtection="1">
      <alignment vertical="top"/>
      <protection locked="0"/>
    </xf>
    <xf numFmtId="0" fontId="2" fillId="0" borderId="42" xfId="0" applyFont="1" applyBorder="1" applyAlignment="1" applyProtection="1">
      <alignment vertical="top"/>
      <protection locked="0"/>
    </xf>
    <xf numFmtId="0" fontId="9" fillId="0" borderId="4" xfId="0" applyFont="1" applyBorder="1" applyAlignment="1" applyProtection="1">
      <alignment vertical="center"/>
      <protection locked="0"/>
    </xf>
    <xf numFmtId="0" fontId="2" fillId="4" borderId="52" xfId="0" applyFont="1" applyFill="1" applyBorder="1" applyAlignment="1" applyProtection="1">
      <alignment vertical="top"/>
      <protection locked="0"/>
    </xf>
    <xf numFmtId="0" fontId="2" fillId="4" borderId="53" xfId="0" applyFont="1" applyFill="1" applyBorder="1" applyAlignment="1" applyProtection="1">
      <alignment vertical="top"/>
      <protection locked="0"/>
    </xf>
    <xf numFmtId="0" fontId="2" fillId="4" borderId="54" xfId="0" applyFont="1" applyFill="1" applyBorder="1" applyAlignment="1" applyProtection="1">
      <alignment vertical="top"/>
      <protection locked="0"/>
    </xf>
    <xf numFmtId="0" fontId="2" fillId="4" borderId="55" xfId="0" applyFont="1" applyFill="1" applyBorder="1" applyAlignment="1" applyProtection="1">
      <alignment vertical="top"/>
      <protection locked="0"/>
    </xf>
    <xf numFmtId="0" fontId="2" fillId="4" borderId="56" xfId="0" applyFont="1" applyFill="1" applyBorder="1" applyAlignment="1" applyProtection="1">
      <alignment vertical="top"/>
      <protection locked="0"/>
    </xf>
    <xf numFmtId="0" fontId="9" fillId="0" borderId="57" xfId="0" applyFont="1" applyBorder="1" applyAlignment="1" applyProtection="1">
      <alignment vertical="top"/>
      <protection locked="0"/>
    </xf>
    <xf numFmtId="0" fontId="7" fillId="0" borderId="2" xfId="0" applyFont="1" applyBorder="1" applyAlignment="1">
      <alignment vertical="top"/>
    </xf>
    <xf numFmtId="0" fontId="2" fillId="0" borderId="61" xfId="0" applyFont="1" applyBorder="1" applyAlignment="1" applyProtection="1">
      <alignment vertical="top" wrapText="1"/>
      <protection locked="0"/>
    </xf>
    <xf numFmtId="0" fontId="5" fillId="3" borderId="60" xfId="0" applyFont="1" applyFill="1" applyBorder="1" applyAlignment="1" applyProtection="1">
      <alignment vertical="center" wrapText="1"/>
      <protection locked="0"/>
    </xf>
    <xf numFmtId="0" fontId="2" fillId="0" borderId="10" xfId="0" applyFont="1" applyBorder="1" applyAlignment="1" applyProtection="1">
      <alignment vertical="top" wrapText="1"/>
      <protection locked="0"/>
    </xf>
    <xf numFmtId="0" fontId="9" fillId="0" borderId="10" xfId="0" applyFont="1" applyBorder="1" applyAlignment="1" applyProtection="1">
      <alignment vertical="top" wrapText="1"/>
      <protection locked="0"/>
    </xf>
    <xf numFmtId="164" fontId="9" fillId="0" borderId="0" xfId="0" applyNumberFormat="1" applyFont="1" applyAlignment="1">
      <alignment horizontal="center" vertical="center"/>
    </xf>
    <xf numFmtId="14" fontId="1" fillId="4" borderId="2" xfId="0" applyNumberFormat="1" applyFont="1" applyFill="1" applyBorder="1" applyAlignment="1" applyProtection="1">
      <alignment horizontal="center" vertical="center" wrapText="1"/>
      <protection locked="0"/>
    </xf>
    <xf numFmtId="0" fontId="1" fillId="0" borderId="4" xfId="0" applyFont="1" applyBorder="1" applyAlignment="1" applyProtection="1">
      <alignment vertical="top" wrapText="1"/>
      <protection locked="0"/>
    </xf>
    <xf numFmtId="0" fontId="2" fillId="0" borderId="54" xfId="0" applyFont="1" applyBorder="1" applyAlignment="1" applyProtection="1">
      <alignment vertical="top"/>
      <protection locked="0"/>
    </xf>
    <xf numFmtId="0" fontId="7" fillId="0" borderId="4" xfId="0" applyFont="1" applyBorder="1" applyAlignment="1" applyProtection="1">
      <alignment vertical="top"/>
      <protection locked="0"/>
    </xf>
    <xf numFmtId="0" fontId="2" fillId="0" borderId="60" xfId="0" applyFont="1" applyBorder="1" applyAlignment="1" applyProtection="1">
      <alignment vertical="center" wrapText="1"/>
      <protection locked="0"/>
    </xf>
    <xf numFmtId="0" fontId="2" fillId="0" borderId="4" xfId="0" applyFont="1" applyBorder="1" applyAlignment="1" applyProtection="1">
      <alignment horizontal="center" vertical="center"/>
      <protection locked="0"/>
    </xf>
    <xf numFmtId="0" fontId="2" fillId="0" borderId="84" xfId="0" applyFont="1" applyBorder="1" applyAlignment="1" applyProtection="1">
      <alignment horizontal="center" vertical="center"/>
      <protection locked="0"/>
    </xf>
    <xf numFmtId="0" fontId="7" fillId="0" borderId="80" xfId="0" applyFont="1" applyBorder="1" applyAlignment="1" applyProtection="1">
      <alignment vertical="top"/>
      <protection locked="0"/>
    </xf>
    <xf numFmtId="0" fontId="7" fillId="0" borderId="68" xfId="0" applyFont="1" applyBorder="1" applyAlignment="1" applyProtection="1">
      <alignment vertical="top"/>
      <protection locked="0"/>
    </xf>
    <xf numFmtId="0" fontId="2" fillId="0" borderId="85" xfId="0" applyFont="1" applyBorder="1" applyAlignment="1" applyProtection="1">
      <alignment horizontal="center" vertical="center" wrapText="1"/>
      <protection locked="0"/>
    </xf>
    <xf numFmtId="0" fontId="5" fillId="3" borderId="9" xfId="0" applyFont="1" applyFill="1" applyBorder="1" applyAlignment="1" applyProtection="1">
      <alignment vertical="center" wrapText="1"/>
      <protection locked="0"/>
    </xf>
    <xf numFmtId="0" fontId="5" fillId="3" borderId="10" xfId="0" applyFont="1" applyFill="1" applyBorder="1" applyAlignment="1" applyProtection="1">
      <alignment vertical="center" wrapText="1"/>
      <protection locked="0"/>
    </xf>
    <xf numFmtId="0" fontId="5" fillId="3" borderId="82" xfId="0" applyFont="1" applyFill="1" applyBorder="1" applyAlignment="1" applyProtection="1">
      <alignment horizontal="center" vertical="center" wrapText="1"/>
      <protection locked="0"/>
    </xf>
    <xf numFmtId="0" fontId="5" fillId="3" borderId="83" xfId="0" applyFont="1" applyFill="1" applyBorder="1" applyAlignment="1" applyProtection="1">
      <alignment horizontal="center" vertical="center"/>
      <protection locked="0"/>
    </xf>
    <xf numFmtId="0" fontId="16" fillId="0" borderId="2" xfId="1" applyFont="1" applyBorder="1" applyAlignment="1" applyProtection="1">
      <alignment vertical="top" wrapText="1"/>
      <protection locked="0"/>
    </xf>
    <xf numFmtId="0" fontId="7" fillId="5" borderId="2" xfId="0" applyFont="1" applyFill="1" applyBorder="1" applyAlignment="1" applyProtection="1">
      <alignment vertical="top"/>
      <protection locked="0"/>
    </xf>
    <xf numFmtId="0" fontId="8" fillId="5" borderId="2" xfId="0" applyFont="1" applyFill="1" applyBorder="1" applyAlignment="1" applyProtection="1">
      <alignment vertical="top"/>
      <protection locked="0"/>
    </xf>
    <xf numFmtId="0" fontId="2" fillId="5" borderId="2" xfId="0" applyFont="1" applyFill="1" applyBorder="1" applyAlignment="1" applyProtection="1">
      <alignment vertical="top"/>
      <protection locked="0"/>
    </xf>
    <xf numFmtId="0" fontId="9" fillId="0" borderId="90" xfId="0" applyFont="1" applyBorder="1" applyAlignment="1" applyProtection="1">
      <alignment vertical="top"/>
      <protection locked="0"/>
    </xf>
    <xf numFmtId="0" fontId="9" fillId="0" borderId="91" xfId="0" applyFont="1" applyBorder="1" applyAlignment="1" applyProtection="1">
      <alignment vertical="top"/>
      <protection locked="0"/>
    </xf>
    <xf numFmtId="0" fontId="9" fillId="0" borderId="93" xfId="0" applyFont="1" applyBorder="1" applyAlignment="1" applyProtection="1">
      <alignment vertical="top"/>
      <protection locked="0"/>
    </xf>
    <xf numFmtId="0" fontId="2" fillId="0" borderId="96" xfId="0" applyFont="1" applyBorder="1" applyAlignment="1" applyProtection="1">
      <alignment vertical="top"/>
      <protection locked="0"/>
    </xf>
    <xf numFmtId="0" fontId="2" fillId="0" borderId="7" xfId="0" applyFont="1" applyBorder="1" applyAlignment="1" applyProtection="1">
      <alignment vertical="top"/>
      <protection locked="0"/>
    </xf>
    <xf numFmtId="164" fontId="9" fillId="0" borderId="94" xfId="0" applyNumberFormat="1" applyFont="1" applyBorder="1" applyAlignment="1">
      <alignment vertical="top"/>
    </xf>
    <xf numFmtId="0" fontId="12" fillId="0" borderId="18" xfId="0" applyFont="1" applyBorder="1" applyAlignment="1" applyProtection="1">
      <alignment horizontal="center" vertical="top"/>
      <protection locked="0"/>
    </xf>
    <xf numFmtId="0" fontId="9" fillId="2" borderId="45" xfId="0" applyFont="1" applyFill="1" applyBorder="1" applyAlignment="1" applyProtection="1">
      <alignment vertical="top" wrapText="1"/>
      <protection locked="0"/>
    </xf>
    <xf numFmtId="0" fontId="9" fillId="2" borderId="47" xfId="0" applyFont="1" applyFill="1" applyBorder="1" applyAlignment="1" applyProtection="1">
      <alignment vertical="top" wrapText="1"/>
      <protection locked="0"/>
    </xf>
    <xf numFmtId="49" fontId="2" fillId="7" borderId="23" xfId="0" applyNumberFormat="1" applyFont="1" applyFill="1" applyBorder="1" applyAlignment="1" applyProtection="1">
      <alignment vertical="top"/>
      <protection locked="0"/>
    </xf>
    <xf numFmtId="49" fontId="2" fillId="7" borderId="40" xfId="0" applyNumberFormat="1" applyFont="1" applyFill="1" applyBorder="1" applyAlignment="1" applyProtection="1">
      <alignment vertical="top"/>
      <protection locked="0"/>
    </xf>
    <xf numFmtId="164" fontId="2" fillId="7" borderId="23" xfId="0" applyNumberFormat="1" applyFont="1" applyFill="1" applyBorder="1" applyAlignment="1" applyProtection="1">
      <alignment vertical="top"/>
      <protection locked="0"/>
    </xf>
    <xf numFmtId="0" fontId="17" fillId="0" borderId="2" xfId="0" applyFont="1" applyBorder="1" applyAlignment="1" applyProtection="1">
      <alignment vertical="top" wrapText="1"/>
      <protection locked="0"/>
    </xf>
    <xf numFmtId="165" fontId="2" fillId="4" borderId="19" xfId="0" applyNumberFormat="1" applyFont="1" applyFill="1" applyBorder="1" applyAlignment="1" applyProtection="1">
      <alignment vertical="top"/>
      <protection locked="0"/>
    </xf>
    <xf numFmtId="165" fontId="2" fillId="0" borderId="20" xfId="0" applyNumberFormat="1" applyFont="1" applyBorder="1" applyAlignment="1">
      <alignment vertical="top"/>
    </xf>
    <xf numFmtId="165" fontId="2" fillId="4" borderId="22" xfId="0" applyNumberFormat="1" applyFont="1" applyFill="1" applyBorder="1" applyAlignment="1" applyProtection="1">
      <alignment vertical="top"/>
      <protection locked="0"/>
    </xf>
    <xf numFmtId="165" fontId="2" fillId="0" borderId="23" xfId="0" applyNumberFormat="1" applyFont="1" applyBorder="1" applyAlignment="1">
      <alignment vertical="top"/>
    </xf>
    <xf numFmtId="165" fontId="10" fillId="5" borderId="22" xfId="0" applyNumberFormat="1" applyFont="1" applyFill="1" applyBorder="1" applyAlignment="1">
      <alignment vertical="top"/>
    </xf>
    <xf numFmtId="165" fontId="10" fillId="5" borderId="23" xfId="0" applyNumberFormat="1" applyFont="1" applyFill="1" applyBorder="1" applyAlignment="1">
      <alignment vertical="top"/>
    </xf>
    <xf numFmtId="165" fontId="9" fillId="5" borderId="22" xfId="0" applyNumberFormat="1" applyFont="1" applyFill="1" applyBorder="1" applyAlignment="1">
      <alignment vertical="top"/>
    </xf>
    <xf numFmtId="165" fontId="9" fillId="5" borderId="23" xfId="0" applyNumberFormat="1" applyFont="1" applyFill="1" applyBorder="1" applyAlignment="1">
      <alignment vertical="top"/>
    </xf>
    <xf numFmtId="165" fontId="2" fillId="4" borderId="39" xfId="0" applyNumberFormat="1" applyFont="1" applyFill="1" applyBorder="1" applyAlignment="1" applyProtection="1">
      <alignment vertical="top"/>
      <protection locked="0"/>
    </xf>
    <xf numFmtId="165" fontId="2" fillId="0" borderId="40" xfId="0" applyNumberFormat="1" applyFont="1" applyBorder="1" applyAlignment="1">
      <alignment vertical="top"/>
    </xf>
    <xf numFmtId="165" fontId="9" fillId="0" borderId="26" xfId="0" applyNumberFormat="1" applyFont="1" applyBorder="1" applyAlignment="1">
      <alignment vertical="top"/>
    </xf>
    <xf numFmtId="165" fontId="9" fillId="0" borderId="24" xfId="0" applyNumberFormat="1" applyFont="1" applyBorder="1" applyAlignment="1">
      <alignment vertical="top"/>
    </xf>
    <xf numFmtId="165" fontId="9" fillId="5" borderId="19" xfId="0" applyNumberFormat="1" applyFont="1" applyFill="1" applyBorder="1" applyAlignment="1">
      <alignment vertical="top"/>
    </xf>
    <xf numFmtId="165" fontId="9" fillId="5" borderId="20" xfId="0" applyNumberFormat="1" applyFont="1" applyFill="1" applyBorder="1" applyAlignment="1">
      <alignment vertical="top"/>
    </xf>
    <xf numFmtId="165" fontId="2" fillId="0" borderId="39" xfId="0" applyNumberFormat="1" applyFont="1" applyBorder="1" applyAlignment="1">
      <alignment vertical="top"/>
    </xf>
    <xf numFmtId="165" fontId="2" fillId="0" borderId="19" xfId="0" applyNumberFormat="1" applyFont="1" applyBorder="1" applyAlignment="1">
      <alignment vertical="top"/>
    </xf>
    <xf numFmtId="165" fontId="2" fillId="6" borderId="22" xfId="0" applyNumberFormat="1" applyFont="1" applyFill="1" applyBorder="1" applyAlignment="1">
      <alignment vertical="top"/>
    </xf>
    <xf numFmtId="165" fontId="2" fillId="0" borderId="22" xfId="0" applyNumberFormat="1" applyFont="1" applyBorder="1" applyAlignment="1">
      <alignment vertical="top"/>
    </xf>
    <xf numFmtId="165" fontId="2" fillId="0" borderId="28" xfId="0" applyNumberFormat="1" applyFont="1" applyBorder="1" applyAlignment="1">
      <alignment vertical="top"/>
    </xf>
    <xf numFmtId="165" fontId="2" fillId="0" borderId="29" xfId="0" applyNumberFormat="1" applyFont="1" applyBorder="1" applyAlignment="1">
      <alignment vertical="top"/>
    </xf>
    <xf numFmtId="165" fontId="2" fillId="4" borderId="23" xfId="0" applyNumberFormat="1" applyFont="1" applyFill="1" applyBorder="1" applyAlignment="1" applyProtection="1">
      <alignment vertical="top"/>
      <protection locked="0"/>
    </xf>
    <xf numFmtId="165" fontId="2" fillId="4" borderId="40" xfId="0" applyNumberFormat="1" applyFont="1" applyFill="1" applyBorder="1" applyAlignment="1" applyProtection="1">
      <alignment vertical="top"/>
      <protection locked="0"/>
    </xf>
    <xf numFmtId="165" fontId="11" fillId="2" borderId="48" xfId="0" applyNumberFormat="1" applyFont="1" applyFill="1" applyBorder="1" applyAlignment="1" applyProtection="1">
      <alignment vertical="top"/>
      <protection locked="0"/>
    </xf>
    <xf numFmtId="165" fontId="2" fillId="5" borderId="23" xfId="0" applyNumberFormat="1" applyFont="1" applyFill="1" applyBorder="1" applyAlignment="1" applyProtection="1">
      <alignment vertical="top"/>
      <protection locked="0"/>
    </xf>
    <xf numFmtId="165" fontId="2" fillId="0" borderId="49" xfId="0" applyNumberFormat="1" applyFont="1" applyBorder="1" applyAlignment="1">
      <alignment vertical="top"/>
    </xf>
    <xf numFmtId="165" fontId="9" fillId="0" borderId="2" xfId="0" applyNumberFormat="1" applyFont="1" applyBorder="1" applyAlignment="1">
      <alignment vertical="top"/>
    </xf>
    <xf numFmtId="165" fontId="2" fillId="4" borderId="66" xfId="0" applyNumberFormat="1" applyFont="1" applyFill="1" applyBorder="1" applyAlignment="1" applyProtection="1">
      <alignment vertical="top"/>
      <protection locked="0"/>
    </xf>
    <xf numFmtId="165" fontId="2" fillId="4" borderId="67" xfId="0" applyNumberFormat="1" applyFont="1" applyFill="1" applyBorder="1" applyAlignment="1" applyProtection="1">
      <alignment vertical="top"/>
      <protection locked="0"/>
    </xf>
    <xf numFmtId="165" fontId="7" fillId="5" borderId="79" xfId="0" applyNumberFormat="1" applyFont="1" applyFill="1" applyBorder="1" applyAlignment="1">
      <alignment vertical="top"/>
    </xf>
    <xf numFmtId="165" fontId="9" fillId="0" borderId="78" xfId="0" applyNumberFormat="1" applyFont="1" applyBorder="1" applyAlignment="1">
      <alignment vertical="top"/>
    </xf>
    <xf numFmtId="165" fontId="2" fillId="0" borderId="70" xfId="0" applyNumberFormat="1" applyFont="1" applyBorder="1" applyAlignment="1">
      <alignment vertical="top"/>
    </xf>
    <xf numFmtId="165" fontId="9" fillId="0" borderId="62" xfId="0" applyNumberFormat="1" applyFont="1" applyBorder="1" applyAlignment="1">
      <alignment vertical="top"/>
    </xf>
    <xf numFmtId="165" fontId="2" fillId="0" borderId="72" xfId="0" applyNumberFormat="1" applyFont="1" applyBorder="1" applyAlignment="1">
      <alignment vertical="top"/>
    </xf>
    <xf numFmtId="165" fontId="9" fillId="0" borderId="63" xfId="0" applyNumberFormat="1" applyFont="1" applyBorder="1" applyAlignment="1">
      <alignment vertical="top"/>
    </xf>
    <xf numFmtId="165" fontId="2" fillId="0" borderId="74" xfId="0" applyNumberFormat="1" applyFont="1" applyBorder="1" applyAlignment="1">
      <alignment vertical="top"/>
    </xf>
    <xf numFmtId="165" fontId="9" fillId="0" borderId="86" xfId="0" applyNumberFormat="1" applyFont="1" applyBorder="1" applyAlignment="1">
      <alignment vertical="top"/>
    </xf>
    <xf numFmtId="165" fontId="2" fillId="0" borderId="76" xfId="0" applyNumberFormat="1" applyFont="1" applyBorder="1" applyAlignment="1">
      <alignment vertical="top"/>
    </xf>
    <xf numFmtId="165" fontId="9" fillId="0" borderId="87" xfId="0" applyNumberFormat="1" applyFont="1" applyBorder="1" applyAlignment="1">
      <alignment vertical="top"/>
    </xf>
    <xf numFmtId="165" fontId="2" fillId="4" borderId="8" xfId="0" applyNumberFormat="1" applyFont="1" applyFill="1" applyBorder="1" applyAlignment="1" applyProtection="1">
      <alignment vertical="top"/>
      <protection locked="0"/>
    </xf>
    <xf numFmtId="165" fontId="9" fillId="0" borderId="8" xfId="0" applyNumberFormat="1" applyFont="1" applyBorder="1" applyAlignment="1">
      <alignment vertical="top"/>
    </xf>
    <xf numFmtId="165" fontId="2" fillId="4" borderId="12" xfId="0" applyNumberFormat="1" applyFont="1" applyFill="1" applyBorder="1" applyAlignment="1" applyProtection="1">
      <alignment vertical="top"/>
      <protection locked="0"/>
    </xf>
    <xf numFmtId="165" fontId="2" fillId="4" borderId="13" xfId="0" applyNumberFormat="1" applyFont="1" applyFill="1" applyBorder="1" applyAlignment="1" applyProtection="1">
      <alignment vertical="top"/>
      <protection locked="0"/>
    </xf>
    <xf numFmtId="165" fontId="2" fillId="4" borderId="14" xfId="0" applyNumberFormat="1" applyFont="1" applyFill="1" applyBorder="1" applyAlignment="1" applyProtection="1">
      <alignment vertical="top"/>
      <protection locked="0"/>
    </xf>
    <xf numFmtId="165" fontId="9" fillId="0" borderId="10" xfId="0" applyNumberFormat="1" applyFont="1" applyBorder="1" applyAlignment="1">
      <alignment vertical="top"/>
    </xf>
    <xf numFmtId="165" fontId="2" fillId="4" borderId="15" xfId="0" applyNumberFormat="1" applyFont="1" applyFill="1" applyBorder="1" applyAlignment="1" applyProtection="1">
      <alignment vertical="top"/>
      <protection locked="0"/>
    </xf>
    <xf numFmtId="165" fontId="2" fillId="4" borderId="16" xfId="0" applyNumberFormat="1" applyFont="1" applyFill="1" applyBorder="1" applyAlignment="1" applyProtection="1">
      <alignment vertical="top"/>
      <protection locked="0"/>
    </xf>
    <xf numFmtId="165" fontId="2" fillId="4" borderId="17" xfId="0" applyNumberFormat="1" applyFont="1" applyFill="1" applyBorder="1" applyAlignment="1" applyProtection="1">
      <alignment vertical="top"/>
      <protection locked="0"/>
    </xf>
    <xf numFmtId="165" fontId="9" fillId="0" borderId="11" xfId="0" applyNumberFormat="1" applyFont="1" applyBorder="1" applyAlignment="1">
      <alignment vertical="top"/>
    </xf>
    <xf numFmtId="165" fontId="2" fillId="4" borderId="36" xfId="0" applyNumberFormat="1" applyFont="1" applyFill="1" applyBorder="1" applyAlignment="1" applyProtection="1">
      <alignment vertical="top"/>
      <protection locked="0"/>
    </xf>
    <xf numFmtId="165" fontId="2" fillId="4" borderId="37" xfId="0" applyNumberFormat="1" applyFont="1" applyFill="1" applyBorder="1" applyAlignment="1" applyProtection="1">
      <alignment vertical="top"/>
      <protection locked="0"/>
    </xf>
    <xf numFmtId="165" fontId="2" fillId="4" borderId="43" xfId="0" applyNumberFormat="1" applyFont="1" applyFill="1" applyBorder="1" applyAlignment="1" applyProtection="1">
      <alignment vertical="top"/>
      <protection locked="0"/>
    </xf>
    <xf numFmtId="165" fontId="9" fillId="0" borderId="41" xfId="0" applyNumberFormat="1" applyFont="1" applyBorder="1" applyAlignment="1">
      <alignment vertical="top"/>
    </xf>
    <xf numFmtId="165" fontId="9" fillId="5" borderId="89" xfId="0" applyNumberFormat="1" applyFont="1" applyFill="1" applyBorder="1" applyAlignment="1">
      <alignment vertical="top"/>
    </xf>
    <xf numFmtId="165" fontId="9" fillId="0" borderId="9" xfId="0" applyNumberFormat="1" applyFont="1" applyBorder="1" applyAlignment="1">
      <alignment vertical="top"/>
    </xf>
    <xf numFmtId="165" fontId="9" fillId="5" borderId="95" xfId="0" applyNumberFormat="1" applyFont="1" applyFill="1" applyBorder="1" applyAlignment="1">
      <alignment vertical="top"/>
    </xf>
    <xf numFmtId="165" fontId="9" fillId="0" borderId="92" xfId="0" applyNumberFormat="1" applyFont="1" applyBorder="1" applyAlignment="1">
      <alignment vertical="top"/>
    </xf>
    <xf numFmtId="165" fontId="9" fillId="0" borderId="94" xfId="0" applyNumberFormat="1" applyFont="1" applyBorder="1" applyAlignment="1">
      <alignment vertical="top"/>
    </xf>
    <xf numFmtId="165" fontId="9" fillId="0" borderId="23" xfId="0" applyNumberFormat="1" applyFont="1" applyBorder="1" applyAlignment="1">
      <alignment vertical="top"/>
    </xf>
    <xf numFmtId="165" fontId="2" fillId="4" borderId="30" xfId="0" applyNumberFormat="1" applyFont="1" applyFill="1" applyBorder="1" applyAlignment="1" applyProtection="1">
      <alignment vertical="top"/>
      <protection locked="0"/>
    </xf>
    <xf numFmtId="165" fontId="9" fillId="0" borderId="32" xfId="0" applyNumberFormat="1" applyFont="1" applyBorder="1" applyAlignment="1">
      <alignment vertical="top"/>
    </xf>
    <xf numFmtId="165" fontId="2" fillId="4" borderId="34" xfId="0" applyNumberFormat="1" applyFont="1" applyFill="1" applyBorder="1" applyAlignment="1" applyProtection="1">
      <alignment vertical="top"/>
      <protection locked="0"/>
    </xf>
    <xf numFmtId="165" fontId="9" fillId="0" borderId="35" xfId="0" applyNumberFormat="1" applyFont="1" applyBorder="1" applyAlignment="1">
      <alignment vertical="top"/>
    </xf>
    <xf numFmtId="165" fontId="2" fillId="0" borderId="92" xfId="0" applyNumberFormat="1" applyFont="1" applyBorder="1" applyAlignment="1">
      <alignment vertical="top"/>
    </xf>
    <xf numFmtId="165" fontId="2" fillId="4" borderId="51" xfId="0" applyNumberFormat="1" applyFont="1" applyFill="1" applyBorder="1" applyAlignment="1" applyProtection="1">
      <alignment vertical="top"/>
      <protection locked="0"/>
    </xf>
    <xf numFmtId="166" fontId="2" fillId="4" borderId="2" xfId="0" applyNumberFormat="1" applyFont="1" applyFill="1" applyBorder="1" applyAlignment="1" applyProtection="1">
      <alignment horizontal="center" vertical="center" wrapText="1"/>
      <protection locked="0"/>
    </xf>
    <xf numFmtId="1" fontId="2" fillId="4" borderId="69" xfId="0" applyNumberFormat="1" applyFont="1" applyFill="1" applyBorder="1" applyAlignment="1" applyProtection="1">
      <alignment horizontal="center" vertical="top"/>
      <protection locked="0"/>
    </xf>
    <xf numFmtId="1" fontId="2" fillId="4" borderId="71" xfId="0" applyNumberFormat="1" applyFont="1" applyFill="1" applyBorder="1" applyAlignment="1" applyProtection="1">
      <alignment horizontal="center" vertical="top"/>
      <protection locked="0"/>
    </xf>
    <xf numFmtId="1" fontId="2" fillId="4" borderId="73" xfId="0" applyNumberFormat="1" applyFont="1" applyFill="1" applyBorder="1" applyAlignment="1" applyProtection="1">
      <alignment horizontal="center" vertical="top"/>
      <protection locked="0"/>
    </xf>
    <xf numFmtId="1" fontId="2" fillId="4" borderId="75" xfId="0" applyNumberFormat="1" applyFont="1" applyFill="1" applyBorder="1" applyAlignment="1" applyProtection="1">
      <alignment horizontal="center" vertical="top"/>
      <protection locked="0"/>
    </xf>
    <xf numFmtId="1" fontId="2" fillId="4" borderId="66" xfId="0" applyNumberFormat="1" applyFont="1" applyFill="1" applyBorder="1" applyAlignment="1" applyProtection="1">
      <alignment horizontal="center" vertical="top"/>
      <protection locked="0"/>
    </xf>
    <xf numFmtId="0" fontId="2" fillId="4" borderId="19" xfId="0" applyFont="1" applyFill="1" applyBorder="1" applyAlignment="1" applyProtection="1">
      <alignment vertical="top"/>
      <protection locked="0"/>
    </xf>
    <xf numFmtId="0" fontId="2" fillId="4" borderId="20" xfId="0" applyFont="1" applyFill="1" applyBorder="1" applyAlignment="1" applyProtection="1">
      <alignment vertical="top"/>
      <protection locked="0"/>
    </xf>
    <xf numFmtId="0" fontId="2" fillId="4" borderId="28" xfId="0" applyFont="1" applyFill="1" applyBorder="1" applyAlignment="1" applyProtection="1">
      <alignment vertical="top"/>
      <protection locked="0"/>
    </xf>
    <xf numFmtId="0" fontId="2" fillId="4" borderId="29" xfId="0" applyFont="1" applyFill="1" applyBorder="1" applyAlignment="1" applyProtection="1">
      <alignment vertical="top"/>
      <protection locked="0"/>
    </xf>
    <xf numFmtId="165" fontId="2" fillId="4" borderId="26" xfId="0" applyNumberFormat="1" applyFont="1" applyFill="1" applyBorder="1" applyAlignment="1" applyProtection="1">
      <alignment vertical="top"/>
      <protection locked="0"/>
    </xf>
    <xf numFmtId="165" fontId="9" fillId="0" borderId="99" xfId="0" applyNumberFormat="1" applyFont="1" applyBorder="1" applyAlignment="1">
      <alignment vertical="top"/>
    </xf>
    <xf numFmtId="165" fontId="9" fillId="0" borderId="101" xfId="0" applyNumberFormat="1" applyFont="1" applyBorder="1" applyAlignment="1">
      <alignment vertical="top"/>
    </xf>
    <xf numFmtId="0" fontId="2" fillId="0" borderId="98" xfId="0" applyFont="1" applyBorder="1" applyAlignment="1">
      <alignment vertical="top"/>
    </xf>
    <xf numFmtId="165" fontId="2" fillId="0" borderId="97" xfId="0" applyNumberFormat="1" applyFont="1" applyBorder="1" applyAlignment="1">
      <alignment vertical="top"/>
    </xf>
    <xf numFmtId="0" fontId="9" fillId="0" borderId="2" xfId="0" applyFont="1" applyBorder="1" applyAlignment="1">
      <alignment vertical="center"/>
    </xf>
    <xf numFmtId="0" fontId="2" fillId="0" borderId="2" xfId="0" applyFont="1" applyBorder="1" applyAlignment="1">
      <alignment horizontal="center" vertical="center"/>
    </xf>
    <xf numFmtId="0" fontId="9" fillId="0" borderId="8" xfId="0" applyFont="1" applyBorder="1" applyAlignment="1">
      <alignment vertical="top"/>
    </xf>
    <xf numFmtId="0" fontId="9" fillId="0" borderId="100" xfId="0" applyFont="1" applyBorder="1" applyAlignment="1">
      <alignment vertical="top"/>
    </xf>
    <xf numFmtId="0" fontId="7" fillId="0" borderId="3" xfId="0" applyFont="1" applyBorder="1" applyAlignment="1">
      <alignment vertical="top"/>
    </xf>
    <xf numFmtId="0" fontId="5" fillId="3" borderId="60" xfId="0" applyFont="1" applyFill="1" applyBorder="1" applyAlignment="1">
      <alignment vertical="center" wrapText="1"/>
    </xf>
    <xf numFmtId="0" fontId="7" fillId="0" borderId="5" xfId="0" applyFont="1" applyBorder="1" applyAlignment="1">
      <alignment vertical="top"/>
    </xf>
    <xf numFmtId="0" fontId="2" fillId="0" borderId="10" xfId="0" applyFont="1" applyBorder="1" applyAlignment="1">
      <alignment vertical="top" wrapText="1"/>
    </xf>
    <xf numFmtId="0" fontId="17" fillId="0" borderId="2" xfId="0" applyFont="1" applyBorder="1" applyAlignment="1">
      <alignment vertical="top" wrapText="1"/>
    </xf>
    <xf numFmtId="0" fontId="7" fillId="5" borderId="2" xfId="0" applyFont="1" applyFill="1" applyBorder="1" applyAlignment="1">
      <alignment vertical="top"/>
    </xf>
    <xf numFmtId="0" fontId="9" fillId="0" borderId="57" xfId="0" applyFont="1" applyBorder="1" applyAlignment="1">
      <alignment vertical="top"/>
    </xf>
    <xf numFmtId="1" fontId="9" fillId="0" borderId="77" xfId="0" applyNumberFormat="1" applyFont="1" applyBorder="1" applyAlignment="1">
      <alignment horizontal="center" vertical="top"/>
    </xf>
    <xf numFmtId="164" fontId="7" fillId="5" borderId="78" xfId="0" applyNumberFormat="1" applyFont="1" applyFill="1" applyBorder="1" applyAlignment="1">
      <alignment vertical="top"/>
    </xf>
    <xf numFmtId="1" fontId="9" fillId="0" borderId="88" xfId="0" applyNumberFormat="1" applyFont="1" applyBorder="1" applyAlignment="1">
      <alignment horizontal="center" vertical="top"/>
    </xf>
    <xf numFmtId="164" fontId="9" fillId="0" borderId="59" xfId="0" applyNumberFormat="1" applyFont="1" applyBorder="1" applyAlignment="1">
      <alignment vertical="top"/>
    </xf>
    <xf numFmtId="164" fontId="7" fillId="5" borderId="79" xfId="0" applyNumberFormat="1" applyFont="1" applyFill="1" applyBorder="1" applyAlignment="1">
      <alignment vertical="top"/>
    </xf>
    <xf numFmtId="165" fontId="9" fillId="0" borderId="59" xfId="0" applyNumberFormat="1" applyFont="1" applyBorder="1" applyAlignment="1">
      <alignment vertical="top"/>
    </xf>
    <xf numFmtId="0" fontId="9" fillId="0" borderId="58" xfId="0" applyFont="1" applyBorder="1" applyAlignment="1">
      <alignment vertical="top"/>
    </xf>
    <xf numFmtId="0" fontId="9" fillId="0" borderId="0" xfId="0" applyFont="1" applyAlignment="1">
      <alignment vertical="top"/>
    </xf>
    <xf numFmtId="164" fontId="7" fillId="5" borderId="81" xfId="0" applyNumberFormat="1" applyFont="1" applyFill="1" applyBorder="1" applyAlignment="1">
      <alignment vertical="top"/>
    </xf>
    <xf numFmtId="0" fontId="2" fillId="0" borderId="4" xfId="0" applyFont="1" applyBorder="1" applyAlignment="1">
      <alignment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18" xfId="0" applyFont="1" applyBorder="1" applyAlignment="1">
      <alignment vertical="top"/>
    </xf>
    <xf numFmtId="0" fontId="2" fillId="0" borderId="21" xfId="0" applyFont="1" applyBorder="1" applyAlignment="1">
      <alignment vertical="top"/>
    </xf>
    <xf numFmtId="0" fontId="2" fillId="0" borderId="21" xfId="0" applyFont="1" applyBorder="1" applyAlignment="1">
      <alignment vertical="top" wrapText="1"/>
    </xf>
    <xf numFmtId="0" fontId="7" fillId="0" borderId="23" xfId="0" applyFont="1" applyBorder="1" applyAlignment="1">
      <alignment vertical="top"/>
    </xf>
    <xf numFmtId="0" fontId="2" fillId="0" borderId="27" xfId="0" applyFont="1" applyBorder="1" applyAlignment="1">
      <alignment vertical="top" wrapText="1"/>
    </xf>
    <xf numFmtId="9" fontId="2" fillId="0" borderId="28" xfId="0" applyNumberFormat="1" applyFont="1" applyBorder="1" applyAlignment="1">
      <alignment horizontal="right" vertical="top"/>
    </xf>
    <xf numFmtId="0" fontId="7" fillId="0" borderId="29" xfId="0" applyFont="1" applyBorder="1" applyAlignment="1">
      <alignment vertical="top"/>
    </xf>
    <xf numFmtId="7" fontId="9" fillId="0" borderId="100" xfId="0" applyNumberFormat="1" applyFont="1" applyBorder="1" applyAlignment="1">
      <alignment vertical="top"/>
    </xf>
    <xf numFmtId="7" fontId="9" fillId="0" borderId="99" xfId="0" applyNumberFormat="1" applyFont="1" applyBorder="1" applyAlignment="1">
      <alignment vertical="top"/>
    </xf>
    <xf numFmtId="0" fontId="9" fillId="0" borderId="26" xfId="0" applyFont="1" applyBorder="1" applyAlignment="1">
      <alignment vertical="top"/>
    </xf>
    <xf numFmtId="0" fontId="9" fillId="0" borderId="102" xfId="0" applyFont="1" applyBorder="1" applyAlignment="1">
      <alignment vertical="top"/>
    </xf>
    <xf numFmtId="0" fontId="9" fillId="0" borderId="10" xfId="0" applyFont="1" applyBorder="1" applyAlignment="1">
      <alignment vertical="top" wrapText="1"/>
    </xf>
    <xf numFmtId="0" fontId="2" fillId="0" borderId="103" xfId="0" applyFont="1" applyBorder="1" applyAlignment="1" applyProtection="1">
      <alignment vertical="top" wrapText="1"/>
      <protection locked="0"/>
    </xf>
    <xf numFmtId="165" fontId="2" fillId="0" borderId="104" xfId="0" applyNumberFormat="1" applyFont="1" applyBorder="1" applyAlignment="1">
      <alignment vertical="top"/>
    </xf>
    <xf numFmtId="14" fontId="2" fillId="4" borderId="2" xfId="0" applyNumberFormat="1" applyFont="1" applyFill="1" applyBorder="1" applyAlignment="1" applyProtection="1">
      <alignment horizontal="center" vertical="center" wrapText="1"/>
      <protection locked="0"/>
    </xf>
    <xf numFmtId="49" fontId="9" fillId="4" borderId="64" xfId="0" applyNumberFormat="1" applyFont="1" applyFill="1" applyBorder="1" applyAlignment="1" applyProtection="1">
      <alignment horizontal="center" vertical="center" wrapText="1"/>
      <protection locked="0"/>
    </xf>
    <xf numFmtId="49" fontId="9" fillId="4" borderId="65" xfId="0" applyNumberFormat="1" applyFont="1" applyFill="1" applyBorder="1" applyAlignment="1" applyProtection="1">
      <alignment horizontal="center" vertical="center" wrapText="1"/>
      <protection locked="0"/>
    </xf>
  </cellXfs>
  <cellStyles count="2">
    <cellStyle name="Hyperlinkki" xfId="1" builtinId="8"/>
    <cellStyle name="Normaali" xfId="0" builtinId="0"/>
  </cellStyles>
  <dxfs count="811">
    <dxf>
      <font>
        <color rgb="FFFF0000"/>
      </font>
      <fill>
        <patternFill patternType="none">
          <fgColor auto="1"/>
          <bgColor auto="1"/>
        </patternFill>
      </fill>
    </dxf>
    <dxf>
      <font>
        <color rgb="FFFF0000"/>
      </font>
      <fill>
        <patternFill patternType="none">
          <fgColor auto="1"/>
          <bgColor auto="1"/>
        </patternFill>
      </fill>
    </dxf>
    <dxf>
      <font>
        <color rgb="FFFF0000"/>
      </font>
      <fill>
        <patternFill patternType="none">
          <fgColor auto="1"/>
          <bgColor auto="1"/>
        </patternFill>
      </fill>
    </dxf>
    <dxf>
      <font>
        <color theme="0"/>
      </font>
      <fill>
        <patternFill>
          <bgColor rgb="FFA00000"/>
        </patternFill>
      </fill>
    </dxf>
    <dxf>
      <fill>
        <patternFill>
          <bgColor theme="9" tint="0.79998168889431442"/>
        </patternFill>
      </fill>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alignment horizontal="general" vertical="top" textRotation="0" wrapText="1" indent="0" justifyLastLine="0" shrinkToFit="0" readingOrder="0"/>
      <protection locked="1" hidden="0"/>
    </dxf>
    <dxf>
      <border outline="0">
        <bottom style="thin">
          <color rgb="FFFFFFFF"/>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rgb="FF2F75B5"/>
        </top>
      </border>
    </dxf>
    <dxf>
      <font>
        <b val="0"/>
        <i val="0"/>
        <strike val="0"/>
        <condense val="0"/>
        <extend val="0"/>
        <outline val="0"/>
        <shadow val="0"/>
        <u val="none"/>
        <vertAlign val="baseline"/>
        <sz val="14"/>
        <color rgb="FF000000"/>
        <name val="Arial"/>
        <family val="2"/>
        <scheme val="none"/>
      </font>
      <numFmt numFmtId="164" formatCode="#,##0\ &quot;€&quo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1" hidden="0"/>
    </dxf>
    <dxf>
      <border outline="0">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numFmt numFmtId="164" formatCode="#,##0\ &quot;€&quot;"/>
      <fill>
        <patternFill patternType="solid">
          <fgColor rgb="FF000000"/>
          <bgColor rgb="FFFFF2CC"/>
        </patternFill>
      </fill>
      <alignment horizontal="general" vertical="top" textRotation="0" wrapText="0" indent="0" justifyLastLine="0" shrinkToFit="0" readingOrder="0"/>
      <protection locked="0" hidden="0"/>
    </dxf>
    <dxf>
      <border outline="0">
        <bottom style="thin">
          <color rgb="FFFFFFFF"/>
        </bottom>
      </border>
    </dxf>
    <dxf>
      <font>
        <b val="0"/>
        <i val="0"/>
        <strike val="0"/>
        <condense val="0"/>
        <extend val="0"/>
        <outline val="0"/>
        <shadow val="0"/>
        <u val="none"/>
        <vertAlign val="baseline"/>
        <sz val="14"/>
        <color theme="1"/>
        <name val="Arial"/>
        <family val="2"/>
        <scheme val="none"/>
      </font>
      <alignment horizontal="center"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rgb="FFFFFFFF"/>
        </top>
      </border>
    </dxf>
    <dxf>
      <border outline="0">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1" hidden="0"/>
    </dxf>
    <dxf>
      <border>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center"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rgb="FF2F75B5"/>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rgb="FF4472C4"/>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rgb="FFFFFFFF"/>
        </top>
      </border>
    </dxf>
    <dxf>
      <border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alignment horizontal="general" vertical="top" textRotation="0" wrapText="1" indent="0" justifyLastLine="0" shrinkToFit="0" readingOrder="0"/>
      <protection locked="1" hidden="0"/>
    </dxf>
    <dxf>
      <border outline="0">
        <bottom style="thin">
          <color rgb="FFFFFFFF"/>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rgb="FF2F75B5"/>
        </top>
      </border>
    </dxf>
    <dxf>
      <font>
        <b val="0"/>
        <i val="0"/>
        <strike val="0"/>
        <condense val="0"/>
        <extend val="0"/>
        <outline val="0"/>
        <shadow val="0"/>
        <u val="none"/>
        <vertAlign val="baseline"/>
        <sz val="14"/>
        <color rgb="FF000000"/>
        <name val="Arial"/>
        <family val="2"/>
        <scheme val="none"/>
      </font>
      <numFmt numFmtId="164" formatCode="#,##0\ &quot;€&quo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1" hidden="0"/>
    </dxf>
    <dxf>
      <border outline="0">
        <right style="thin">
          <color rgb="FFFFFFFF"/>
        </right>
        <top style="thin">
          <color rgb="FFFFFFFF"/>
        </top>
        <bottom style="thin">
          <color rgb="FFFFFFFF"/>
        </bottom>
      </border>
    </dxf>
    <dxf>
      <font>
        <b val="0"/>
        <i val="0"/>
        <strike val="0"/>
        <condense val="0"/>
        <extend val="0"/>
        <outline val="0"/>
        <shadow val="0"/>
        <u val="none"/>
        <vertAlign val="baseline"/>
        <sz val="14"/>
        <color rgb="FF000000"/>
        <name val="Arial"/>
        <family val="2"/>
        <scheme val="none"/>
      </font>
      <numFmt numFmtId="164" formatCode="#,##0\ &quot;€&quot;"/>
      <fill>
        <patternFill patternType="solid">
          <fgColor rgb="FF000000"/>
          <bgColor rgb="FFFFF2CC"/>
        </patternFill>
      </fill>
      <alignment horizontal="general" vertical="top" textRotation="0" wrapText="0" indent="0" justifyLastLine="0" shrinkToFit="0" readingOrder="0"/>
      <protection locked="0" hidden="0"/>
    </dxf>
    <dxf>
      <border outline="0">
        <bottom style="thin">
          <color rgb="FFFFFFFF"/>
        </bottom>
      </border>
    </dxf>
    <dxf>
      <font>
        <b val="0"/>
        <i val="0"/>
        <strike val="0"/>
        <condense val="0"/>
        <extend val="0"/>
        <outline val="0"/>
        <shadow val="0"/>
        <u val="none"/>
        <vertAlign val="baseline"/>
        <sz val="14"/>
        <color theme="1"/>
        <name val="Arial"/>
        <family val="2"/>
        <scheme val="none"/>
      </font>
      <alignment horizontal="center"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rgb="FFFFFFFF"/>
        </top>
      </border>
    </dxf>
    <dxf>
      <border outline="0">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1" hidden="0"/>
    </dxf>
    <dxf>
      <border>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rgb="FFFFFFFF"/>
        </top>
      </border>
    </dxf>
    <dxf>
      <font>
        <strike val="0"/>
        <outline val="0"/>
        <shadow val="0"/>
        <u val="none"/>
        <vertAlign val="baseline"/>
        <sz val="14"/>
        <color rgb="FF000000"/>
        <name val="Arial"/>
        <family val="2"/>
        <scheme val="none"/>
      </font>
      <alignment horizontal="general" vertical="center" textRotation="0" wrapText="0" indent="0" justifyLastLine="0" shrinkToFit="0" readingOrder="0"/>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rgb="FF2F75B5"/>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vertical style="thin">
          <color rgb="FFFFFFFF"/>
        </vertical>
        <horizontal/>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rgb="FF4472C4"/>
        </top>
      </border>
    </dxf>
    <dxf>
      <font>
        <strike val="0"/>
        <outline val="0"/>
        <shadow val="0"/>
        <u val="none"/>
        <vertAlign val="baseline"/>
        <sz val="14"/>
        <color rgb="FF000000"/>
        <name val="Arial"/>
        <family val="2"/>
        <scheme val="none"/>
      </font>
      <alignment horizontal="general" vertical="top" textRotation="0" wrapText="0" indent="0" justifyLastLine="0" shrinkToFit="0" readingOrder="0"/>
      <border diagonalUp="0" diagonalDown="0">
        <left style="thin">
          <color rgb="FFFFFFFF"/>
        </left>
        <right style="thin">
          <color rgb="FFFFFFFF"/>
        </right>
        <top/>
        <bottom/>
      </border>
      <protection locked="0" hidden="0"/>
    </dxf>
    <dxf>
      <border outline="0">
        <left style="thin">
          <color rgb="FFFFFFFF"/>
        </left>
        <right style="thin">
          <color rgb="FFFFFFFF"/>
        </right>
        <top style="thin">
          <color rgb="FFFFFFFF"/>
        </top>
        <bottom style="thin">
          <color rgb="FFFFFFFF"/>
        </bottom>
      </border>
    </dxf>
    <dxf>
      <font>
        <strike val="0"/>
        <outline val="0"/>
        <shadow val="0"/>
        <u val="none"/>
        <vertAlign val="baseline"/>
        <sz val="14"/>
        <color rgb="FF000000"/>
        <name val="Arial"/>
        <family val="2"/>
        <scheme val="none"/>
      </font>
      <alignment horizontal="general" vertical="top" textRotation="0" wrapText="0" indent="0" justifyLastLine="0" shrinkToFit="0" readingOrder="0"/>
      <protection locked="0" hidden="0"/>
    </dxf>
    <dxf>
      <border outline="0">
        <bottom style="thin">
          <color rgb="FFFFFFFF"/>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4" formatCode="#,##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0"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theme="0"/>
        </top>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vertical/>
        <horizontal/>
      </border>
      <protection locked="1" hidden="0"/>
    </dxf>
    <dxf>
      <border outline="0">
        <top style="thin">
          <color theme="0"/>
        </top>
      </border>
    </dxf>
    <dxf>
      <border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protection locked="1" hidden="0"/>
    </dxf>
    <dxf>
      <border outline="0">
        <bottom style="thin">
          <color theme="0"/>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vertical/>
        <horizontal/>
      </border>
      <protection locked="0" hidden="0"/>
    </dxf>
    <dxf>
      <border>
        <top style="medium">
          <color theme="8" tint="-0.24994659260841701"/>
        </top>
      </border>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1" hidden="0"/>
    </dxf>
    <dxf>
      <border outline="0">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4"/>
        <color theme="1"/>
        <name val="Arial"/>
        <family val="2"/>
        <scheme val="none"/>
      </font>
      <alignment horizontal="center"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4" tint="0.39994506668294322"/>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top/>
        <bottom/>
      </border>
      <protection locked="1" hidden="0"/>
    </dxf>
    <dxf>
      <border outline="0">
        <top style="thin">
          <color theme="0"/>
        </top>
      </border>
    </dxf>
    <dxf>
      <border outline="0">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1" hidden="0"/>
    </dxf>
    <dxf>
      <border>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style="thin">
          <color theme="0"/>
        </top>
        <bottom/>
        <vertical/>
        <horizontal/>
      </border>
      <protection locked="1" hidden="0"/>
    </dxf>
    <dxf>
      <border diagonalUp="0" diagonalDown="0" outline="0">
        <left style="thin">
          <color theme="0"/>
        </left>
        <right style="thin">
          <color theme="0"/>
        </right>
        <top style="thin">
          <color theme="0"/>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style="thin">
          <color theme="0"/>
        </right>
        <top/>
        <bottom/>
      </border>
      <protection locked="1" hidden="0"/>
    </dxf>
    <dxf>
      <font>
        <b/>
        <i val="0"/>
        <strike val="0"/>
        <condense val="0"/>
        <extend val="0"/>
        <outline val="0"/>
        <shadow val="0"/>
        <u val="none"/>
        <vertAlign val="baseline"/>
        <sz val="12"/>
        <color theme="1"/>
        <name val="Calibri"/>
        <family val="2"/>
        <scheme val="minor"/>
      </font>
      <border diagonalUp="0" diagonalDown="0" outline="0">
        <left/>
        <right style="thin">
          <color theme="0"/>
        </right>
        <top style="thin">
          <color theme="0"/>
        </top>
        <bottom/>
      </border>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top style="thin">
          <color theme="0"/>
        </top>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right style="thin">
          <color theme="0"/>
        </right>
        <top/>
        <bottom/>
      </border>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protection locked="1"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bottom/>
      </border>
      <protection locked="1" hidden="0"/>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0"/>
        </left>
        <right/>
        <top/>
        <bottom/>
      </border>
      <protection locked="0" hidden="0"/>
    </dxf>
    <dxf>
      <font>
        <b/>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0"/>
        </right>
        <top/>
        <bottom/>
      </border>
      <protection locked="0" hidden="0"/>
    </dxf>
    <dxf>
      <border outline="0">
        <top style="thin">
          <color theme="0"/>
        </top>
      </border>
    </dxf>
    <dxf>
      <font>
        <strike val="0"/>
        <outline val="0"/>
        <shadow val="0"/>
        <u val="none"/>
        <vertAlign val="baseline"/>
        <sz val="14"/>
        <color theme="1"/>
        <name val="Arial"/>
        <family val="2"/>
        <scheme val="none"/>
      </font>
      <alignment horizontal="general" vertical="center"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8" tint="-0.24994659260841701"/>
        </top>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8" tint="-0.24994659260841701"/>
        </top>
        <bottom/>
      </border>
      <protection locked="0"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top style="medium">
          <color theme="8" tint="-0.24994659260841701"/>
        </top>
      </border>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style="thin">
          <color theme="0"/>
        </right>
        <top/>
        <bottom/>
        <vertical style="thin">
          <color theme="0"/>
        </vertical>
        <horizontal/>
      </border>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font>
        <b/>
        <strike val="0"/>
        <outline val="0"/>
        <shadow val="0"/>
        <u val="none"/>
        <vertAlign val="baseline"/>
        <sz val="14"/>
        <color theme="1"/>
        <name val="Arial"/>
        <family val="2"/>
        <scheme val="none"/>
      </font>
      <numFmt numFmtId="165" formatCode="#,##0.00\ &quot;€&quot;"/>
      <fill>
        <patternFill patternType="none">
          <fgColor indexed="64"/>
          <bgColor auto="1"/>
        </patternFill>
      </fill>
      <alignment horizontal="general" vertical="top" textRotation="0" wrapText="0" indent="0" justifyLastLine="0" shrinkToFit="0" readingOrder="0"/>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thin">
          <color theme="0"/>
        </left>
        <right style="thin">
          <color theme="0"/>
        </right>
        <top/>
        <bottom style="thin">
          <color theme="0"/>
        </bottom>
      </border>
    </dxf>
    <dxf>
      <font>
        <strike val="0"/>
        <outline val="0"/>
        <shadow val="0"/>
        <u val="none"/>
        <vertAlign val="baseline"/>
        <sz val="14"/>
        <color theme="1"/>
        <name val="Arial"/>
        <family val="2"/>
        <scheme val="none"/>
      </font>
      <numFmt numFmtId="165" formatCode="#,##0.00\ &quot;€&quot;"/>
      <fill>
        <patternFill patternType="solid">
          <fgColor indexed="64"/>
          <bgColor theme="7" tint="0.79998168889431442"/>
        </patternFill>
      </fill>
      <alignment horizontal="general" vertical="top" textRotation="0" wrapText="0" indent="0" justifyLastLine="0" shrinkToFit="0" readingOrder="0"/>
      <border diagonalUp="0" diagonalDown="0">
        <left/>
        <right style="thin">
          <color theme="4" tint="0.39994506668294322"/>
        </right>
        <top style="thin">
          <color theme="0"/>
        </top>
        <bottom style="thin">
          <color theme="0"/>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style="thin">
          <color theme="0"/>
        </bottom>
      </border>
      <protection locked="0" hidden="0"/>
    </dxf>
    <dxf>
      <font>
        <b/>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7558519241921"/>
        </top>
        <bottom style="thin">
          <color theme="4" tint="0.39997558519241921"/>
        </bottom>
        <vertical/>
        <horizontal/>
      </border>
      <protection locked="0" hidden="0"/>
    </dxf>
    <dxf>
      <border>
        <top style="thin">
          <color theme="4"/>
        </top>
      </border>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style="thin">
          <color theme="0"/>
        </left>
        <right style="thin">
          <color theme="0"/>
        </right>
        <top/>
        <bottom/>
      </border>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horizontal="general"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0" indent="0" justifyLastLine="0" shrinkToFit="0" readingOrder="0"/>
      <border diagonalUp="0" diagonalDown="0">
        <left style="thin">
          <color theme="0"/>
        </left>
        <right style="thin">
          <color theme="0"/>
        </right>
        <top/>
        <bottom/>
      </border>
      <protection locked="0" hidden="0"/>
    </dxf>
    <dxf>
      <numFmt numFmtId="165" formatCode="#,##0.00\ &quot;€&quot;"/>
      <border diagonalUp="0" diagonalDown="0">
        <right style="thick">
          <color theme="4" tint="-0.499984740745262"/>
        </right>
        <top style="medium">
          <color theme="4"/>
        </top>
        <bottom style="medium">
          <color theme="4"/>
        </bottom>
        <vertical style="thick">
          <color theme="4" tint="-0.499984740745262"/>
        </vertical>
        <horizontal style="medium">
          <color theme="4"/>
        </horizontal>
      </border>
      <protection locked="0" hidden="0"/>
    </dxf>
    <dxf>
      <numFmt numFmtId="165" formatCode="#,##0.00\ &quot;€&quot;"/>
      <border diagonalUp="0" diagonalDown="0">
        <left style="thick">
          <color theme="4" tint="-0.499984740745262"/>
        </left>
        <top style="medium">
          <color theme="4"/>
        </top>
        <bottom style="medium">
          <color theme="4"/>
        </bottom>
        <horizontal style="medium">
          <color theme="4"/>
        </horizontal>
      </border>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numFmt numFmtId="165" formatCode="#,##0.00\ &quot;€&quot;"/>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top style="thin">
          <color theme="4" tint="0.39994506668294322"/>
        </top>
        <bottom/>
        <vertical/>
        <horizontal/>
      </border>
      <protection locked="0" hidden="0"/>
    </dxf>
    <dxf>
      <border outline="0">
        <left style="thin">
          <color theme="0"/>
        </left>
        <right style="thin">
          <color theme="0"/>
        </right>
        <bottom style="thin">
          <color theme="0"/>
        </bottom>
      </border>
    </dxf>
    <dxf>
      <protection locked="0" hidden="0"/>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center" vertical="center" textRotation="0" wrapText="0" indent="0" justifyLastLine="0" shrinkToFit="0" readingOrder="0"/>
      <border diagonalUp="0" diagonalDown="0">
        <left style="thin">
          <color theme="0"/>
        </left>
        <right style="thin">
          <color theme="0"/>
        </right>
        <top/>
        <bottom/>
      </border>
      <protection locked="0" hidden="0"/>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1" hidden="0"/>
    </dxf>
    <dxf>
      <border diagonalUp="0" diagonalDown="0" outline="0">
        <left/>
        <right style="thin">
          <color theme="0"/>
        </right>
        <top style="thin">
          <color theme="0"/>
        </top>
        <bottom/>
      </border>
    </dxf>
    <dxf>
      <font>
        <strike val="0"/>
        <outline val="0"/>
        <shadow val="0"/>
        <u val="none"/>
        <vertAlign val="baseline"/>
        <sz val="14"/>
        <color theme="1"/>
        <name val="Arial"/>
        <family val="2"/>
        <scheme val="none"/>
      </font>
      <alignment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1" hidden="0"/>
    </dxf>
    <dxf>
      <border outline="0">
        <top style="thin">
          <color theme="0"/>
        </top>
      </border>
    </dxf>
    <dxf>
      <font>
        <strike val="0"/>
        <outline val="0"/>
        <shadow val="0"/>
        <u val="none"/>
        <vertAlign val="baseline"/>
        <sz val="14"/>
        <color theme="1"/>
        <name val="Arial"/>
        <family val="2"/>
        <scheme val="none"/>
      </font>
      <alignment vertical="top" textRotation="0" wrapText="0" indent="0" justifyLastLine="0" shrinkToFit="0" readingOrder="0"/>
      <protection locked="1"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wrapText="0" indent="0" justifyLastLine="0" shrinkToFit="0" readingOrder="0"/>
      <protection locked="1" hidden="0"/>
    </dxf>
    <dxf>
      <border outline="0">
        <bottom style="thin">
          <color theme="0"/>
        </bottom>
      </border>
    </dxf>
    <dxf>
      <font>
        <strike val="0"/>
        <outline val="0"/>
        <shadow val="0"/>
        <u val="none"/>
        <vertAlign val="baseline"/>
        <sz val="14"/>
        <color theme="1"/>
        <name val="Arial"/>
        <family val="2"/>
        <scheme val="none"/>
      </font>
      <alignment vertical="center" textRotation="0" wrapText="0" indent="0" justifyLastLine="0" shrinkToFit="0" readingOrder="0"/>
      <protection locked="1" hidden="0"/>
    </dxf>
    <dxf>
      <font>
        <strike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vertical/>
        <horizontal/>
      </border>
      <protection locked="0" hidden="0"/>
    </dxf>
    <dxf>
      <font>
        <b/>
        <strike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medium">
          <color theme="0"/>
        </left>
        <right style="medium">
          <color theme="0"/>
        </right>
        <top style="medium">
          <color theme="4"/>
        </top>
        <bottom/>
      </border>
    </dxf>
    <dxf>
      <font>
        <b/>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b val="0"/>
        <i val="0"/>
        <strike val="0"/>
        <condense val="0"/>
        <extend val="0"/>
        <outline val="0"/>
        <shadow val="0"/>
        <u val="none"/>
        <vertAlign val="baseline"/>
        <sz val="14"/>
        <color theme="1"/>
        <name val="Arial"/>
        <family val="2"/>
        <scheme val="none"/>
      </font>
      <alignment horizontal="center" vertical="top" textRotation="0" wrapText="0" indent="0" justifyLastLine="0" shrinkToFit="0" readingOrder="0"/>
      <border diagonalUp="0" diagonalDown="0" outline="0">
        <left style="thin">
          <color theme="0"/>
        </left>
        <right style="thin">
          <color theme="0"/>
        </right>
        <top/>
        <bottom/>
      </border>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4" formatCode="#,##0\ &quot;€&quot;"/>
      <alignment horizontal="general" vertical="top" textRotation="0" wrapText="0" indent="0" justifyLastLine="0" shrinkToFit="0" readingOrder="0"/>
      <border diagonalUp="0" diagonalDown="0" outline="0">
        <left style="medium">
          <color theme="0"/>
        </left>
        <right style="medium">
          <color theme="0"/>
        </right>
        <top style="medium">
          <color theme="4"/>
        </top>
        <bottom/>
      </border>
    </dxf>
    <dxf>
      <font>
        <b/>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medium">
          <color theme="0"/>
        </left>
        <right style="thin">
          <color rgb="FF0070C0"/>
        </right>
        <top style="medium">
          <color theme="4"/>
        </top>
        <bottom/>
        <vertical/>
        <horizontal/>
      </border>
      <protection locked="0" hidden="0"/>
    </dxf>
    <dxf>
      <font>
        <i/>
        <strike val="0"/>
        <outline val="0"/>
        <shadow val="0"/>
        <u val="none"/>
        <vertAlign val="baseline"/>
        <sz val="14"/>
        <color theme="0"/>
        <name val="Arial"/>
        <family val="2"/>
        <scheme val="none"/>
      </font>
      <numFmt numFmtId="164" formatCode="#,##0\ &quot;€&quot;"/>
      <fill>
        <patternFill patternType="solid">
          <fgColor indexed="64"/>
          <bgColor theme="0"/>
        </patternFill>
      </fill>
      <alignment horizontal="general" vertical="top" textRotation="0" wrapText="0" indent="0" justifyLastLine="0" shrinkToFit="0" readingOrder="0"/>
      <border diagonalUp="0" diagonalDown="0">
        <left style="thick">
          <color theme="4" tint="-0.499984740745262"/>
        </left>
        <right style="medium">
          <color theme="0"/>
        </right>
        <top style="medium">
          <color theme="4"/>
        </top>
        <bottom/>
        <vertical/>
        <horizontal/>
      </border>
      <protection locked="0" hidden="0"/>
    </dxf>
    <dxf>
      <font>
        <b val="0"/>
        <i val="0"/>
        <strike val="0"/>
        <condense val="0"/>
        <extend val="0"/>
        <outline val="0"/>
        <shadow val="0"/>
        <u val="none"/>
        <vertAlign val="baseline"/>
        <sz val="14"/>
        <color theme="1"/>
        <name val="Arial"/>
        <family val="2"/>
        <scheme val="none"/>
      </font>
      <numFmt numFmtId="164" formatCode="#,##0\ &quot;€&quot;"/>
      <fill>
        <patternFill patternType="solid">
          <fgColor indexed="64"/>
          <bgColor theme="7" tint="0.79998168889431442"/>
        </patternFill>
      </fill>
      <alignment horizontal="general" vertical="top" textRotation="0" wrapText="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vertical/>
        <horizontal/>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horizontal="center" vertical="top" textRotation="0" wrapText="0" indent="0" justifyLastLine="0" shrinkToFit="0" readingOrder="0"/>
      <border diagonalUp="0" diagonalDown="0">
        <left style="thick">
          <color theme="4" tint="-0.499984740745262"/>
        </left>
        <right style="thin">
          <color theme="4" tint="0.39994506668294322"/>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fill>
        <patternFill patternType="solid">
          <fgColor indexed="64"/>
          <bgColor theme="7" tint="0.79998168889431442"/>
        </patternFill>
      </fill>
      <alignment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wrapText="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fill>
        <patternFill patternType="solid">
          <fgColor indexed="64"/>
          <bgColor theme="7" tint="0.79998168889431442"/>
        </patternFill>
      </fill>
      <alignment vertical="top" textRotation="0" wrapText="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wrapText="0" indent="0" justifyLastLine="0" shrinkToFit="0" readingOrder="0"/>
      <border diagonalUp="0" diagonalDown="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style="thin">
          <color theme="0"/>
        </bottom>
        <vertical/>
        <horizontal/>
      </border>
      <protection locked="0" hidden="0"/>
    </dxf>
    <dxf>
      <border outline="0">
        <top style="thin">
          <color theme="0"/>
        </top>
      </border>
    </dxf>
    <dxf>
      <border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protection locked="0" hidden="0"/>
    </dxf>
    <dxf>
      <border outline="0">
        <bottom style="thin">
          <color theme="0"/>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vertical="top" textRotation="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0" hidden="0"/>
    </dxf>
    <dxf>
      <font>
        <strike val="0"/>
        <outline val="0"/>
        <shadow val="0"/>
        <u val="none"/>
        <vertAlign val="baseline"/>
        <sz val="14"/>
        <color theme="1"/>
        <name val="Arial"/>
        <family val="2"/>
        <scheme val="none"/>
      </font>
      <numFmt numFmtId="0" formatCode="General"/>
      <fill>
        <patternFill patternType="solid">
          <fgColor indexed="64"/>
          <bgColor theme="7" tint="0.79998168889431442"/>
        </patternFill>
      </fill>
      <alignment vertical="top" textRotation="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0" hidden="0"/>
    </dxf>
    <dxf>
      <font>
        <b val="0"/>
        <i/>
        <strike val="0"/>
        <condense val="0"/>
        <extend val="0"/>
        <outline val="0"/>
        <shadow val="0"/>
        <u val="none"/>
        <vertAlign val="baseline"/>
        <sz val="14"/>
        <color theme="1"/>
        <name val="Arial"/>
        <family val="2"/>
        <scheme val="none"/>
      </font>
      <alignment horizontal="center" vertical="top" textRotation="0" wrapText="0" indent="0" justifyLastLine="0" shrinkToFit="0" readingOrder="0"/>
      <border diagonalUp="0" diagonalDown="0" outline="0">
        <left/>
        <right style="thin">
          <color theme="4" tint="0.39994506668294322"/>
        </right>
        <top style="thin">
          <color theme="0"/>
        </top>
        <bottom style="thin">
          <color theme="4" tint="0.39994506668294322"/>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top style="thin">
          <color theme="4" tint="0.39994506668294322"/>
        </top>
        <bottom style="thin">
          <color theme="4" tint="0.39994506668294322"/>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wrapText="0" indent="0" justifyLastLine="0" shrinkToFit="0" readingOrder="0"/>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4" tint="0.39994506668294322"/>
        </left>
        <right style="thin">
          <color theme="0"/>
        </right>
        <top style="thin">
          <color theme="4" tint="0.39994506668294322"/>
        </top>
        <bottom style="thin">
          <color theme="4" tint="0.39994506668294322"/>
        </bottom>
      </border>
      <protection locked="1"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4" tint="0.39994506668294322"/>
        </left>
        <right style="thin">
          <color theme="4" tint="0.39994506668294322"/>
        </right>
        <top style="thin">
          <color theme="4" tint="0.39994506668294322"/>
        </top>
        <bottom style="thin">
          <color theme="4" tint="0.39994506668294322"/>
        </bottom>
      </border>
      <protection locked="1" hidden="0"/>
    </dxf>
    <dxf>
      <font>
        <strike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left/>
        <right style="thin">
          <color theme="4" tint="0.39994506668294322"/>
        </right>
        <top style="thin">
          <color theme="4" tint="0.39994506668294322"/>
        </top>
        <bottom style="thin">
          <color theme="4" tint="0.39994506668294322"/>
        </bottom>
        <vertical/>
        <horizontal/>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wrapText="1"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wrapText="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style="thin">
          <color theme="0"/>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vertical="center" textRotation="0" indent="0" justifyLastLine="0" shrinkToFit="0" readingOrder="0"/>
      <border diagonalUp="0" diagonalDown="0" outline="0">
        <left style="thin">
          <color theme="0"/>
        </left>
        <right style="thin">
          <color theme="0"/>
        </right>
        <top/>
        <bottom/>
      </border>
      <protection locked="0"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1" hidden="0"/>
    </dxf>
    <dxf>
      <font>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style="thin">
          <color theme="0"/>
        </top>
        <bottom style="thin">
          <color theme="0"/>
        </bottom>
      </border>
      <protection locked="0" hidden="0"/>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right style="thin">
          <color theme="0"/>
        </right>
        <top style="thin">
          <color theme="0"/>
        </top>
        <bottom style="thin">
          <color theme="0"/>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left/>
        <right/>
        <top style="thin">
          <color theme="0"/>
        </top>
        <bottom style="thin">
          <color theme="0"/>
        </bottom>
        <vertical/>
        <horizontal/>
      </border>
      <protection locked="0" hidden="0"/>
    </dxf>
    <dxf>
      <border outline="0">
        <top style="thin">
          <color theme="0"/>
        </top>
      </border>
    </dxf>
    <dxf>
      <border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protection locked="0" hidden="0"/>
    </dxf>
    <dxf>
      <border outline="0">
        <bottom style="thin">
          <color theme="0"/>
        </bottom>
      </border>
    </dxf>
    <dxf>
      <font>
        <b/>
        <i val="0"/>
        <strike val="0"/>
        <condense val="0"/>
        <extend val="0"/>
        <outline val="0"/>
        <shadow val="0"/>
        <u val="none"/>
        <vertAlign val="baseline"/>
        <sz val="14"/>
        <color theme="0"/>
        <name val="Arial"/>
        <family val="2"/>
        <scheme val="none"/>
      </font>
      <fill>
        <patternFill patternType="solid">
          <fgColor indexed="64"/>
          <bgColor theme="4" tint="-0.499984740745262"/>
        </patternFill>
      </fill>
      <alignment horizontal="general" vertical="center" textRotation="0" wrapText="1" indent="0" justifyLastLine="0" shrinkToFit="0" readingOrder="0"/>
      <protection locked="0" hidden="0"/>
    </dxf>
    <dxf>
      <font>
        <b/>
        <strike val="0"/>
        <outline val="0"/>
        <shadow val="0"/>
        <u val="none"/>
        <vertAlign val="baseline"/>
        <sz val="14"/>
        <color theme="1"/>
        <name val="Arial"/>
        <family val="2"/>
        <scheme val="none"/>
      </font>
      <numFmt numFmtId="164" formatCode="#,##0\ &quot;€&quot;"/>
      <alignment horizontal="center" vertical="center" textRotation="0" wrapText="0" indent="0" justifyLastLine="0" shrinkToFit="0" readingOrder="0"/>
      <border diagonalUp="0" diagonalDown="0" outline="0">
        <left style="thin">
          <color theme="0"/>
        </left>
        <right/>
        <top style="thin">
          <color theme="0"/>
        </top>
        <bottom/>
      </border>
      <protection locked="1" hidden="0"/>
    </dxf>
    <dxf>
      <font>
        <b/>
        <strike val="0"/>
        <outline val="0"/>
        <shadow val="0"/>
        <u val="none"/>
        <vertAlign val="baseline"/>
        <sz val="14"/>
        <color theme="1"/>
        <name val="Arial"/>
        <family val="2"/>
        <scheme val="none"/>
      </font>
      <numFmt numFmtId="165" formatCode="#,##0.00\ &quot;€&quot;"/>
      <alignment vertical="top" textRotation="0" indent="0" justifyLastLine="0" shrinkToFit="0" readingOrder="0"/>
      <border diagonalUp="0" diagonalDown="0">
        <left style="thin">
          <color theme="0"/>
        </left>
        <right/>
        <top/>
        <bottom/>
      </border>
      <protection locked="1" hidden="0"/>
    </dxf>
    <dxf>
      <font>
        <b val="0"/>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top style="thin">
          <color theme="0"/>
        </top>
        <bottom/>
      </border>
      <protection locked="0" hidden="0"/>
    </dxf>
    <dxf>
      <border outline="0">
        <top style="thin">
          <color theme="0"/>
        </top>
      </border>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0" indent="0" justifyLastLine="0" shrinkToFit="0" readingOrder="0"/>
      <border diagonalUp="0" diagonalDown="0" outline="0">
        <left/>
        <right style="thin">
          <color theme="0"/>
        </right>
        <top style="medium">
          <color theme="4"/>
        </top>
        <bottom style="thin">
          <color theme="0"/>
        </bottom>
      </border>
      <protection locked="0" hidden="0"/>
    </dxf>
    <dxf>
      <font>
        <strike val="0"/>
        <outline val="0"/>
        <shadow val="0"/>
        <u val="none"/>
        <vertAlign val="baseline"/>
        <sz val="14"/>
        <name val="Arial"/>
        <family val="2"/>
        <scheme val="none"/>
      </font>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style="thin">
          <color theme="0"/>
        </right>
        <top style="medium">
          <color theme="4"/>
        </top>
        <bottom style="thin">
          <color theme="0"/>
        </bottom>
      </border>
    </dxf>
    <dxf>
      <font>
        <strike val="0"/>
        <outline val="0"/>
        <shadow val="0"/>
        <u val="none"/>
        <vertAlign val="baseline"/>
        <sz val="14"/>
        <name val="Arial"/>
        <family val="2"/>
        <scheme val="none"/>
      </font>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0"/>
        </right>
        <top style="medium">
          <color theme="4"/>
        </top>
        <bottom/>
      </border>
      <protection locked="0" hidden="0"/>
    </dxf>
    <dxf>
      <font>
        <strike val="0"/>
        <outline val="0"/>
        <shadow val="0"/>
        <u val="none"/>
        <vertAlign val="baseline"/>
        <sz val="14"/>
        <color theme="1"/>
        <name val="Arial"/>
        <family val="2"/>
        <scheme val="none"/>
      </font>
      <numFmt numFmtId="30" formatCode="@"/>
      <fill>
        <patternFill patternType="solid">
          <fgColor indexed="64"/>
          <bgColor theme="7" tint="0.79998168889431442"/>
        </patternFill>
      </fill>
      <alignment horizontal="general" vertical="top" textRotation="0" wrapText="0" indent="0" justifyLastLine="0" shrinkToFit="0" readingOrder="0"/>
      <border diagonalUp="0" diagonalDown="0" outline="0">
        <left style="thin">
          <color theme="4" tint="0.39994506668294322"/>
        </left>
        <right style="thin">
          <color theme="0"/>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numFmt numFmtId="165" formatCode="#,##0.00\ &quot;€&quot;"/>
      <alignment horizontal="general" vertical="top" textRotation="0" wrapText="0" indent="0" justifyLastLine="0" shrinkToFit="0" readingOrder="0"/>
      <border diagonalUp="0" diagonalDown="0" outline="0">
        <left style="thin">
          <color theme="0"/>
        </left>
        <right/>
        <top style="medium">
          <color theme="4"/>
        </top>
        <bottom/>
      </border>
    </dxf>
    <dxf>
      <font>
        <strike val="0"/>
        <outline val="0"/>
        <shadow val="0"/>
        <u val="none"/>
        <vertAlign val="baseline"/>
        <sz val="14"/>
        <color theme="1"/>
        <name val="Arial"/>
        <family val="2"/>
        <scheme val="none"/>
      </font>
      <alignment vertical="top" textRotation="0" indent="0" justifyLastLine="0" shrinkToFit="0" readingOrder="0"/>
      <border diagonalUp="0" diagonalDown="0" outline="0">
        <left style="thin">
          <color theme="4" tint="0.39994506668294322"/>
        </left>
        <right style="thin">
          <color theme="0"/>
        </right>
        <top style="thin">
          <color theme="4" tint="0.39994506668294322"/>
        </top>
        <bottom style="thin">
          <color theme="4" tint="0.39994506668294322"/>
        </bottom>
      </border>
      <protection locked="0" hidden="0"/>
    </dxf>
    <dxf>
      <font>
        <b val="0"/>
        <i val="0"/>
        <strike val="0"/>
        <condense val="0"/>
        <extend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0"/>
        </right>
        <top/>
        <bottom/>
      </border>
      <protection locked="0" hidden="0"/>
    </dxf>
    <dxf>
      <font>
        <strike val="0"/>
        <outline val="0"/>
        <shadow val="0"/>
        <u val="none"/>
        <vertAlign val="baseline"/>
        <sz val="14"/>
        <color theme="1"/>
        <name val="Arial"/>
        <family val="2"/>
        <scheme val="none"/>
      </font>
      <alignment horizontal="general" vertical="top" textRotation="0" wrapText="1" indent="0" justifyLastLine="0" shrinkToFit="0" readingOrder="0"/>
      <border diagonalUp="0" diagonalDown="0" outline="0">
        <left/>
        <right style="thin">
          <color theme="4" tint="0.39994506668294322"/>
        </right>
        <top style="thin">
          <color theme="4" tint="0.39994506668294322"/>
        </top>
        <bottom style="thin">
          <color theme="4" tint="0.39994506668294322"/>
        </bottom>
      </border>
      <protection locked="0" hidden="0"/>
    </dxf>
    <dxf>
      <border outline="0">
        <top style="thin">
          <color theme="0"/>
        </top>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left style="thin">
          <color theme="0"/>
        </left>
        <right style="thin">
          <color theme="0"/>
        </right>
        <top style="thin">
          <color theme="0"/>
        </top>
        <bottom style="thin">
          <color theme="0"/>
        </bottom>
      </border>
    </dxf>
    <dxf>
      <font>
        <strike val="0"/>
        <outline val="0"/>
        <shadow val="0"/>
        <u val="none"/>
        <vertAlign val="baseline"/>
        <sz val="14"/>
        <color theme="1"/>
        <name val="Arial"/>
        <family val="2"/>
        <scheme val="none"/>
      </font>
      <alignment vertical="top" textRotation="0" indent="0" justifyLastLine="0" shrinkToFit="0" readingOrder="0"/>
      <protection locked="0" hidden="0"/>
    </dxf>
    <dxf>
      <border outline="0">
        <bottom style="thin">
          <color theme="0"/>
        </bottom>
      </border>
    </dxf>
    <dxf>
      <font>
        <strike val="0"/>
        <outline val="0"/>
        <shadow val="0"/>
        <u val="none"/>
        <vertAlign val="baseline"/>
        <sz val="14"/>
        <color theme="1"/>
        <name val="Arial"/>
        <family val="2"/>
        <scheme val="none"/>
      </font>
      <alignment horizontal="general" vertical="center" textRotation="0" wrapText="1" indent="0" justifyLastLine="0" shrinkToFit="0" readingOrder="0"/>
      <border diagonalUp="0" diagonalDown="0" outline="0">
        <left style="thin">
          <color theme="0"/>
        </left>
        <right style="thin">
          <color theme="0"/>
        </right>
        <top/>
        <bottom/>
      </border>
      <protection locked="0" hidden="0"/>
    </dxf>
    <dxf>
      <font>
        <b val="0"/>
        <i val="0"/>
      </font>
    </dxf>
    <dxf>
      <font>
        <b/>
        <i val="0"/>
      </font>
    </dxf>
    <dxf>
      <font>
        <b/>
        <i val="0"/>
        <color theme="0"/>
      </font>
      <fill>
        <patternFill>
          <bgColor theme="4" tint="-0.499984740745262"/>
        </patternFill>
      </fill>
    </dxf>
  </dxfs>
  <tableStyles count="1" defaultTableStyle="Helsinki_taulukko_tyyli" defaultPivotStyle="PivotStyleLight16">
    <tableStyle name="Helsinki_taulukko_tyyli" pivot="0" count="3" xr9:uid="{7354961F-7412-694D-9B41-12A9C339B086}">
      <tableStyleElement type="headerRow" dxfId="810"/>
      <tableStyleElement type="totalRow" dxfId="809"/>
      <tableStyleElement type="firstColumnStripe" dxfId="808"/>
    </tableStyle>
  </tableStyles>
  <colors>
    <mruColors>
      <color rgb="FFFFFBF2"/>
      <color rgb="FFFFF8E5"/>
      <color rgb="FFA00000"/>
      <color rgb="FFF1DBFF"/>
      <color rgb="FFE5C3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127000</xdr:colOff>
      <xdr:row>10</xdr:row>
      <xdr:rowOff>114300</xdr:rowOff>
    </xdr:from>
    <xdr:to>
      <xdr:col>12</xdr:col>
      <xdr:colOff>279400</xdr:colOff>
      <xdr:row>13</xdr:row>
      <xdr:rowOff>114300</xdr:rowOff>
    </xdr:to>
    <xdr:sp macro="" textlink="">
      <xdr:nvSpPr>
        <xdr:cNvPr id="4" name="Round Single Corner of Rectangle 3">
          <a:extLst>
            <a:ext uri="{FF2B5EF4-FFF2-40B4-BE49-F238E27FC236}">
              <a16:creationId xmlns:a16="http://schemas.microsoft.com/office/drawing/2014/main" id="{5EDD540C-6EE2-1BFF-75AB-D87842BAB496}"/>
            </a:ext>
            <a:ext uri="{C183D7F6-B498-43B3-948B-1728B52AA6E4}">
              <adec:decorative xmlns:adec="http://schemas.microsoft.com/office/drawing/2017/decorative" val="1"/>
            </a:ext>
          </a:extLst>
        </xdr:cNvPr>
        <xdr:cNvSpPr/>
      </xdr:nvSpPr>
      <xdr:spPr>
        <a:xfrm>
          <a:off x="9982200" y="6007100"/>
          <a:ext cx="6756400" cy="7620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b="1">
              <a:solidFill>
                <a:schemeClr val="tx1"/>
              </a:solidFill>
              <a:latin typeface="Arial" panose="020B0604020202020204" pitchFamily="34" charset="0"/>
              <a:cs typeface="Arial" panose="020B0604020202020204" pitchFamily="34" charset="0"/>
            </a:rPr>
            <a:t>Yrityksen perustamismenot: </a:t>
          </a:r>
          <a:r>
            <a:rPr lang="en-GB" sz="1200">
              <a:solidFill>
                <a:schemeClr val="tx1"/>
              </a:solidFill>
              <a:latin typeface="Arial" panose="020B0604020202020204" pitchFamily="34" charset="0"/>
              <a:cs typeface="Arial" panose="020B0604020202020204" pitchFamily="34" charset="0"/>
            </a:rPr>
            <a:t>Toiminimen rekisteröinti maksaa 75 €, osakeyhtiön rekisteröinti maksaa 300€. Perustamismenoihin voidaan sisällyttää myös esim. osakassopimuksen laatimisesta tai toimialakohtaisista luvista aiheutuvia kuluja.</a:t>
          </a:r>
        </a:p>
      </xdr:txBody>
    </xdr:sp>
    <xdr:clientData/>
  </xdr:twoCellAnchor>
  <xdr:twoCellAnchor>
    <xdr:from>
      <xdr:col>4</xdr:col>
      <xdr:colOff>127000</xdr:colOff>
      <xdr:row>13</xdr:row>
      <xdr:rowOff>190500</xdr:rowOff>
    </xdr:from>
    <xdr:to>
      <xdr:col>12</xdr:col>
      <xdr:colOff>279400</xdr:colOff>
      <xdr:row>16</xdr:row>
      <xdr:rowOff>228600</xdr:rowOff>
    </xdr:to>
    <xdr:sp macro="" textlink="">
      <xdr:nvSpPr>
        <xdr:cNvPr id="5" name="Round Single Corner of Rectangle 4">
          <a:extLst>
            <a:ext uri="{FF2B5EF4-FFF2-40B4-BE49-F238E27FC236}">
              <a16:creationId xmlns:a16="http://schemas.microsoft.com/office/drawing/2014/main" id="{BAD2FEDB-8F91-0E42-A722-E196835FF502}"/>
            </a:ext>
            <a:ext uri="{C183D7F6-B498-43B3-948B-1728B52AA6E4}">
              <adec:decorative xmlns:adec="http://schemas.microsoft.com/office/drawing/2017/decorative" val="1"/>
            </a:ext>
          </a:extLst>
        </xdr:cNvPr>
        <xdr:cNvSpPr/>
      </xdr:nvSpPr>
      <xdr:spPr>
        <a:xfrm>
          <a:off x="9982200" y="6845300"/>
          <a:ext cx="6756400" cy="8001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b="1">
              <a:solidFill>
                <a:schemeClr val="tx1"/>
              </a:solidFill>
              <a:latin typeface="Arial" panose="020B0604020202020204" pitchFamily="34" charset="0"/>
              <a:cs typeface="Arial" panose="020B0604020202020204" pitchFamily="34" charset="0"/>
            </a:rPr>
            <a:t>Valmiina olevat</a:t>
          </a:r>
          <a:r>
            <a:rPr lang="en-GB" sz="1200" b="1" baseline="0">
              <a:solidFill>
                <a:schemeClr val="tx1"/>
              </a:solidFill>
              <a:latin typeface="Arial" panose="020B0604020202020204" pitchFamily="34" charset="0"/>
              <a:cs typeface="Arial" panose="020B0604020202020204" pitchFamily="34" charset="0"/>
            </a:rPr>
            <a:t> työvälineet</a:t>
          </a:r>
          <a:r>
            <a:rPr lang="en-GB" sz="1200" b="0">
              <a:solidFill>
                <a:schemeClr val="tx1"/>
              </a:solidFill>
              <a:latin typeface="Arial" panose="020B0604020202020204" pitchFamily="34" charset="0"/>
              <a:cs typeface="Arial" panose="020B0604020202020204" pitchFamily="34" charset="0"/>
            </a:rPr>
            <a:t>: Laita tähän jo mahdollisesti liiketoimintaasi varten valmiina olevien työvälineiden arvioitu arvo. Laskelma siirtää automaattisesti niiden arvon myös "Rahan lähteet"-taulukkoon "Omat työvälineet" kohtaan.</a:t>
          </a:r>
        </a:p>
      </xdr:txBody>
    </xdr:sp>
    <xdr:clientData/>
  </xdr:twoCellAnchor>
  <xdr:twoCellAnchor>
    <xdr:from>
      <xdr:col>4</xdr:col>
      <xdr:colOff>127000</xdr:colOff>
      <xdr:row>25</xdr:row>
      <xdr:rowOff>76200</xdr:rowOff>
    </xdr:from>
    <xdr:to>
      <xdr:col>12</xdr:col>
      <xdr:colOff>279400</xdr:colOff>
      <xdr:row>28</xdr:row>
      <xdr:rowOff>152400</xdr:rowOff>
    </xdr:to>
    <xdr:sp macro="" textlink="">
      <xdr:nvSpPr>
        <xdr:cNvPr id="6" name="Round Single Corner of Rectangle 5">
          <a:extLst>
            <a:ext uri="{FF2B5EF4-FFF2-40B4-BE49-F238E27FC236}">
              <a16:creationId xmlns:a16="http://schemas.microsoft.com/office/drawing/2014/main" id="{3E722A92-ED02-B24F-8C7A-0950F0AC9E91}"/>
            </a:ext>
            <a:ext uri="{C183D7F6-B498-43B3-948B-1728B52AA6E4}">
              <adec:decorative xmlns:adec="http://schemas.microsoft.com/office/drawing/2017/decorative" val="1"/>
            </a:ext>
          </a:extLst>
        </xdr:cNvPr>
        <xdr:cNvSpPr/>
      </xdr:nvSpPr>
      <xdr:spPr>
        <a:xfrm>
          <a:off x="10731500" y="10820400"/>
          <a:ext cx="6756400" cy="8382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b="1">
              <a:solidFill>
                <a:schemeClr val="tx1"/>
              </a:solidFill>
              <a:latin typeface="Arial" panose="020B0604020202020204" pitchFamily="34" charset="0"/>
              <a:cs typeface="Arial" panose="020B0604020202020204" pitchFamily="34" charset="0"/>
            </a:rPr>
            <a:t>Vuokra tiloista / takuuvuokrat: </a:t>
          </a:r>
          <a:r>
            <a:rPr lang="en-GB" sz="1200" b="0">
              <a:solidFill>
                <a:schemeClr val="tx1"/>
              </a:solidFill>
              <a:latin typeface="Arial" panose="020B0604020202020204" pitchFamily="34" charset="0"/>
              <a:cs typeface="Arial" panose="020B0604020202020204" pitchFamily="34" charset="0"/>
            </a:rPr>
            <a:t>Jos arvioit kestävän 3 kuukautta ennen kuin pystyt tulorahoituksella (asiakkailta saaduilla rahoilla) maksamaan vuokran ja joudut maksamaan 3 kuukautta takuuvuokraa, tulee sinun syöttää tähän 6 x kuukausivuokrasi.</a:t>
          </a:r>
        </a:p>
      </xdr:txBody>
    </xdr:sp>
    <xdr:clientData/>
  </xdr:twoCellAnchor>
  <xdr:twoCellAnchor>
    <xdr:from>
      <xdr:col>4</xdr:col>
      <xdr:colOff>127000</xdr:colOff>
      <xdr:row>28</xdr:row>
      <xdr:rowOff>222250</xdr:rowOff>
    </xdr:from>
    <xdr:to>
      <xdr:col>12</xdr:col>
      <xdr:colOff>279400</xdr:colOff>
      <xdr:row>32</xdr:row>
      <xdr:rowOff>12700</xdr:rowOff>
    </xdr:to>
    <xdr:sp macro="" textlink="">
      <xdr:nvSpPr>
        <xdr:cNvPr id="7" name="Round Single Corner of Rectangle 6">
          <a:extLst>
            <a:ext uri="{FF2B5EF4-FFF2-40B4-BE49-F238E27FC236}">
              <a16:creationId xmlns:a16="http://schemas.microsoft.com/office/drawing/2014/main" id="{4E4DFBAC-1BBF-CD4B-B5A1-EB24A8C63AE5}"/>
            </a:ext>
            <a:ext uri="{C183D7F6-B498-43B3-948B-1728B52AA6E4}">
              <adec:decorative xmlns:adec="http://schemas.microsoft.com/office/drawing/2017/decorative" val="1"/>
            </a:ext>
          </a:extLst>
        </xdr:cNvPr>
        <xdr:cNvSpPr/>
      </xdr:nvSpPr>
      <xdr:spPr>
        <a:xfrm>
          <a:off x="10731500" y="11728450"/>
          <a:ext cx="6756400" cy="80645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b="1">
              <a:solidFill>
                <a:schemeClr val="tx1"/>
              </a:solidFill>
              <a:latin typeface="Arial" panose="020B0604020202020204" pitchFamily="34" charset="0"/>
              <a:cs typeface="Arial" panose="020B0604020202020204" pitchFamily="34" charset="0"/>
            </a:rPr>
            <a:t>Yrittäjän oma toimeentulo: </a:t>
          </a:r>
          <a:r>
            <a:rPr lang="en-GB" sz="1200" b="0">
              <a:solidFill>
                <a:schemeClr val="tx1"/>
              </a:solidFill>
              <a:latin typeface="Arial" panose="020B0604020202020204" pitchFamily="34" charset="0"/>
              <a:cs typeface="Arial" panose="020B0604020202020204" pitchFamily="34" charset="0"/>
            </a:rPr>
            <a:t>Paljonko tarvitset kuukaudessa omiin pakollisiin henkilökohtaisiin menoihisi? Kerro tämä luku sillä määrällä kuukausia, kunnes toiminta alkaa arviosi mukaan tuottamaan sinulle toimeentuloa.</a:t>
          </a:r>
        </a:p>
      </xdr:txBody>
    </xdr:sp>
    <xdr:clientData/>
  </xdr:twoCellAnchor>
  <xdr:twoCellAnchor>
    <xdr:from>
      <xdr:col>4</xdr:col>
      <xdr:colOff>127000</xdr:colOff>
      <xdr:row>49</xdr:row>
      <xdr:rowOff>584200</xdr:rowOff>
    </xdr:from>
    <xdr:to>
      <xdr:col>12</xdr:col>
      <xdr:colOff>368300</xdr:colOff>
      <xdr:row>51</xdr:row>
      <xdr:rowOff>101600</xdr:rowOff>
    </xdr:to>
    <xdr:sp macro="" textlink="">
      <xdr:nvSpPr>
        <xdr:cNvPr id="8" name="Round Single Corner of Rectangle 7">
          <a:extLst>
            <a:ext uri="{FF2B5EF4-FFF2-40B4-BE49-F238E27FC236}">
              <a16:creationId xmlns:a16="http://schemas.microsoft.com/office/drawing/2014/main" id="{E9CC5DA7-8BD0-184A-A09F-99EC975A1E8B}"/>
            </a:ext>
            <a:ext uri="{C183D7F6-B498-43B3-948B-1728B52AA6E4}">
              <adec:decorative xmlns:adec="http://schemas.microsoft.com/office/drawing/2017/decorative" val="1"/>
            </a:ext>
          </a:extLst>
        </xdr:cNvPr>
        <xdr:cNvSpPr/>
      </xdr:nvSpPr>
      <xdr:spPr>
        <a:xfrm>
          <a:off x="9982200" y="17018000"/>
          <a:ext cx="6845300" cy="7874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b="1">
              <a:solidFill>
                <a:schemeClr val="tx1"/>
              </a:solidFill>
              <a:latin typeface="Arial" panose="020B0604020202020204" pitchFamily="34" charset="0"/>
              <a:cs typeface="Arial" panose="020B0604020202020204" pitchFamily="34" charset="0"/>
            </a:rPr>
            <a:t>Rahan lähteiden ja rahan tarpeiden erotus: </a:t>
          </a:r>
          <a:r>
            <a:rPr lang="en-GB" sz="1200" b="0">
              <a:solidFill>
                <a:schemeClr val="tx1"/>
              </a:solidFill>
              <a:latin typeface="Arial" panose="020B0604020202020204" pitchFamily="34" charset="0"/>
              <a:cs typeface="Arial" panose="020B0604020202020204" pitchFamily="34" charset="0"/>
            </a:rPr>
            <a:t>Rahoituslaskelma on tehty oikein, kun rahan tarve on yhtä suuri kuin rahan lähteet. Jos saat miinus-merkkisen tuloksen erotukseksi, sinun täytyy lisätä rahan lähteiden summaa niin, että se vastaa rahan tarvetta.</a:t>
          </a:r>
        </a:p>
      </xdr:txBody>
    </xdr:sp>
    <xdr:clientData/>
  </xdr:twoCellAnchor>
  <xdr:twoCellAnchor editAs="oneCell">
    <xdr:from>
      <xdr:col>0</xdr:col>
      <xdr:colOff>177800</xdr:colOff>
      <xdr:row>0</xdr:row>
      <xdr:rowOff>152400</xdr:rowOff>
    </xdr:from>
    <xdr:to>
      <xdr:col>0</xdr:col>
      <xdr:colOff>2247900</xdr:colOff>
      <xdr:row>0</xdr:row>
      <xdr:rowOff>520700</xdr:rowOff>
    </xdr:to>
    <xdr:pic>
      <xdr:nvPicPr>
        <xdr:cNvPr id="3" name="Picture 2">
          <a:extLst>
            <a:ext uri="{FF2B5EF4-FFF2-40B4-BE49-F238E27FC236}">
              <a16:creationId xmlns:a16="http://schemas.microsoft.com/office/drawing/2014/main" id="{2CA95A8D-67F7-4FBF-BE1C-9370FC21122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98424</xdr:colOff>
      <xdr:row>38</xdr:row>
      <xdr:rowOff>69851</xdr:rowOff>
    </xdr:from>
    <xdr:to>
      <xdr:col>6</xdr:col>
      <xdr:colOff>76200</xdr:colOff>
      <xdr:row>40</xdr:row>
      <xdr:rowOff>238125</xdr:rowOff>
    </xdr:to>
    <xdr:sp macro="" textlink="">
      <xdr:nvSpPr>
        <xdr:cNvPr id="4" name="Rectangle 3">
          <a:extLst>
            <a:ext uri="{FF2B5EF4-FFF2-40B4-BE49-F238E27FC236}">
              <a16:creationId xmlns:a16="http://schemas.microsoft.com/office/drawing/2014/main" id="{FFC2147B-869E-D84D-8BA1-D66361A1619E}"/>
            </a:ext>
            <a:ext uri="{C183D7F6-B498-43B3-948B-1728B52AA6E4}">
              <adec:decorative xmlns:adec="http://schemas.microsoft.com/office/drawing/2017/decorative" val="1"/>
            </a:ext>
          </a:extLst>
        </xdr:cNvPr>
        <xdr:cNvSpPr/>
      </xdr:nvSpPr>
      <xdr:spPr>
        <a:xfrm>
          <a:off x="10042524" y="13023851"/>
          <a:ext cx="2670176" cy="676274"/>
        </a:xfrm>
        <a:prstGeom prst="rect">
          <a:avLst/>
        </a:prstGeom>
        <a:solidFill>
          <a:srgbClr val="F1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GB" sz="1200" b="0">
              <a:solidFill>
                <a:sysClr val="windowText" lastClr="000000"/>
              </a:solidFill>
              <a:effectLst/>
              <a:latin typeface="Arial" panose="020B0604020202020204" pitchFamily="34" charset="0"/>
              <a:cs typeface="Arial" panose="020B0604020202020204" pitchFamily="34" charset="0"/>
            </a:rPr>
            <a:t>Kuukausikatetarve siirtyy automaattisesti kk-myyntilaskelman "myynnin yhteenveto"-taulukkoon.</a:t>
          </a:r>
          <a:endParaRPr lang="en-FI" sz="1200" b="0">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5</xdr:col>
      <xdr:colOff>0</xdr:colOff>
      <xdr:row>2</xdr:row>
      <xdr:rowOff>812800</xdr:rowOff>
    </xdr:from>
    <xdr:to>
      <xdr:col>11</xdr:col>
      <xdr:colOff>812800</xdr:colOff>
      <xdr:row>4</xdr:row>
      <xdr:rowOff>50800</xdr:rowOff>
    </xdr:to>
    <xdr:sp macro="" textlink="">
      <xdr:nvSpPr>
        <xdr:cNvPr id="7" name="Round Single Corner of Rectangle 6">
          <a:extLst>
            <a:ext uri="{FF2B5EF4-FFF2-40B4-BE49-F238E27FC236}">
              <a16:creationId xmlns:a16="http://schemas.microsoft.com/office/drawing/2014/main" id="{C6EE1072-630F-B84B-9031-C12546F4C3E5}"/>
            </a:ext>
            <a:ext uri="{C183D7F6-B498-43B3-948B-1728B52AA6E4}">
              <adec:decorative xmlns:adec="http://schemas.microsoft.com/office/drawing/2017/decorative" val="1"/>
            </a:ext>
          </a:extLst>
        </xdr:cNvPr>
        <xdr:cNvSpPr/>
      </xdr:nvSpPr>
      <xdr:spPr>
        <a:xfrm>
          <a:off x="11112500" y="1422400"/>
          <a:ext cx="5765800" cy="12700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GB" sz="1200" b="1">
              <a:solidFill>
                <a:schemeClr val="tx1"/>
              </a:solidFill>
              <a:latin typeface="Arial" panose="020B0604020202020204" pitchFamily="34" charset="0"/>
              <a:cs typeface="Arial" panose="020B0604020202020204" pitchFamily="34" charset="0"/>
            </a:rPr>
            <a:t>Toiminimiyrittäjän nettoansio tai osakeyhtiön tulos</a:t>
          </a:r>
          <a:r>
            <a:rPr lang="en-GB" sz="1200" b="0">
              <a:solidFill>
                <a:schemeClr val="tx1"/>
              </a:solidFill>
              <a:latin typeface="Arial" panose="020B0604020202020204" pitchFamily="34" charset="0"/>
              <a:cs typeface="Arial" panose="020B0604020202020204" pitchFamily="34" charset="0"/>
            </a:rPr>
            <a:t>: Tavoitetulos tarkoittaa yrittäjän oman yritystoiminnan nettotulotarvetta. Saat sen, kun arvioit kuinka paljon rahaa tarvitset kuukaudessa henkilökohtaisiin menoihin (asuminen, ruoka, vaatteet yms.). Tavoitetulosta voit myös arvioida työsuhteessa saamasi nettopalkan avulla. Osakeyhtiön kohdalla palkka tulee bruttona riville 17.</a:t>
          </a:r>
        </a:p>
      </xdr:txBody>
    </xdr:sp>
    <xdr:clientData/>
  </xdr:twoCellAnchor>
  <xdr:twoCellAnchor>
    <xdr:from>
      <xdr:col>5</xdr:col>
      <xdr:colOff>0</xdr:colOff>
      <xdr:row>4</xdr:row>
      <xdr:rowOff>139700</xdr:rowOff>
    </xdr:from>
    <xdr:to>
      <xdr:col>11</xdr:col>
      <xdr:colOff>812800</xdr:colOff>
      <xdr:row>8</xdr:row>
      <xdr:rowOff>76200</xdr:rowOff>
    </xdr:to>
    <xdr:sp macro="" textlink="">
      <xdr:nvSpPr>
        <xdr:cNvPr id="8" name="Round Single Corner of Rectangle 7">
          <a:extLst>
            <a:ext uri="{FF2B5EF4-FFF2-40B4-BE49-F238E27FC236}">
              <a16:creationId xmlns:a16="http://schemas.microsoft.com/office/drawing/2014/main" id="{C7459009-1D4D-2B44-A7CB-844BA4431FD6}"/>
            </a:ext>
            <a:ext uri="{C183D7F6-B498-43B3-948B-1728B52AA6E4}">
              <adec:decorative xmlns:adec="http://schemas.microsoft.com/office/drawing/2017/decorative" val="1"/>
            </a:ext>
          </a:extLst>
        </xdr:cNvPr>
        <xdr:cNvSpPr/>
      </xdr:nvSpPr>
      <xdr:spPr>
        <a:xfrm>
          <a:off x="11112500" y="2781300"/>
          <a:ext cx="5765800" cy="10795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b="1">
              <a:solidFill>
                <a:schemeClr val="tx1"/>
              </a:solidFill>
              <a:latin typeface="Arial" panose="020B0604020202020204" pitchFamily="34" charset="0"/>
              <a:cs typeface="Arial" panose="020B0604020202020204" pitchFamily="34" charset="0"/>
            </a:rPr>
            <a:t>Nettotulot: </a:t>
          </a:r>
          <a:r>
            <a:rPr lang="en-GB" sz="1200" b="0">
              <a:solidFill>
                <a:schemeClr val="tx1"/>
              </a:solidFill>
              <a:latin typeface="Arial" panose="020B0604020202020204" pitchFamily="34" charset="0"/>
              <a:cs typeface="Arial" panose="020B0604020202020204" pitchFamily="34" charset="0"/>
            </a:rPr>
            <a:t>Tavoitetulokseen lisätään yritystoiminnan lainojen lyhennys, jolloin saadaan nettotulot. Kun nettotuloihin lisätään verot, saadaan rahoitustarve. Kun rahoitustarpeeseen lisätään yritystoiminnan lainojen korot, saadaan summa, joka yritystoiminnalla tulee ansaita elääkseen ja hoitaakseen yritystoiminnan lainat.</a:t>
          </a:r>
        </a:p>
      </xdr:txBody>
    </xdr:sp>
    <xdr:clientData/>
  </xdr:twoCellAnchor>
  <xdr:twoCellAnchor>
    <xdr:from>
      <xdr:col>5</xdr:col>
      <xdr:colOff>0</xdr:colOff>
      <xdr:row>8</xdr:row>
      <xdr:rowOff>165100</xdr:rowOff>
    </xdr:from>
    <xdr:to>
      <xdr:col>11</xdr:col>
      <xdr:colOff>812800</xdr:colOff>
      <xdr:row>13</xdr:row>
      <xdr:rowOff>127000</xdr:rowOff>
    </xdr:to>
    <xdr:sp macro="" textlink="">
      <xdr:nvSpPr>
        <xdr:cNvPr id="9" name="Round Single Corner of Rectangle 8">
          <a:extLst>
            <a:ext uri="{FF2B5EF4-FFF2-40B4-BE49-F238E27FC236}">
              <a16:creationId xmlns:a16="http://schemas.microsoft.com/office/drawing/2014/main" id="{596D82E4-10C7-1045-A32E-FA81B40073D1}"/>
            </a:ext>
            <a:ext uri="{C183D7F6-B498-43B3-948B-1728B52AA6E4}">
              <adec:decorative xmlns:adec="http://schemas.microsoft.com/office/drawing/2017/decorative" val="1"/>
            </a:ext>
          </a:extLst>
        </xdr:cNvPr>
        <xdr:cNvSpPr/>
      </xdr:nvSpPr>
      <xdr:spPr>
        <a:xfrm>
          <a:off x="11112500" y="3949700"/>
          <a:ext cx="5765800" cy="14224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1200" b="1">
              <a:solidFill>
                <a:schemeClr val="tx1"/>
              </a:solidFill>
              <a:latin typeface="Arial" panose="020B0604020202020204" pitchFamily="34" charset="0"/>
              <a:cs typeface="Arial" panose="020B0604020202020204" pitchFamily="34" charset="0"/>
            </a:rPr>
            <a:t>Verot tulosta: </a:t>
          </a:r>
          <a:r>
            <a:rPr lang="en-GB" sz="1200" b="0">
              <a:solidFill>
                <a:schemeClr val="tx1"/>
              </a:solidFill>
              <a:latin typeface="Arial" panose="020B0604020202020204" pitchFamily="34" charset="0"/>
              <a:cs typeface="Arial" panose="020B0604020202020204" pitchFamily="34" charset="0"/>
            </a:rPr>
            <a:t>Esim. Toiminimi-yrittäjä, joka tienaa kuukaudessa yrittäjänä 1800 € netto, maksaa veroja kuukaudessa noin 90 €. Laskettu niin, ettei ole muita tuloja, kuuluu kirkkoon (ev.lut) ja YEL maksetaan vähimmäistyötulon mukaan. Katso tarkemmin oma veroprosenttisi</a:t>
          </a:r>
          <a:r>
            <a:rPr lang="en-GB" sz="1200" b="0" baseline="0">
              <a:solidFill>
                <a:schemeClr val="tx1"/>
              </a:solidFill>
              <a:latin typeface="Arial" panose="020B0604020202020204" pitchFamily="34" charset="0"/>
              <a:cs typeface="Arial" panose="020B0604020202020204" pitchFamily="34" charset="0"/>
            </a:rPr>
            <a:t> verohallinnon sivujen veroprosenttilaskurilla. </a:t>
          </a:r>
          <a:r>
            <a:rPr lang="en-GB" sz="1200" b="0">
              <a:solidFill>
                <a:schemeClr val="tx1"/>
              </a:solidFill>
              <a:latin typeface="Arial" panose="020B0604020202020204" pitchFamily="34" charset="0"/>
              <a:cs typeface="Arial" panose="020B0604020202020204" pitchFamily="34" charset="0"/>
            </a:rPr>
            <a:t>Osakeyhtiön yhteisövero on aina 20%, ja tämän lisäksi yrittäjä maksaa itse verot ansiotulostaan, eli palkastaan.</a:t>
          </a:r>
        </a:p>
      </xdr:txBody>
    </xdr:sp>
    <xdr:clientData/>
  </xdr:twoCellAnchor>
  <xdr:twoCellAnchor>
    <xdr:from>
      <xdr:col>5</xdr:col>
      <xdr:colOff>0</xdr:colOff>
      <xdr:row>13</xdr:row>
      <xdr:rowOff>203200</xdr:rowOff>
    </xdr:from>
    <xdr:to>
      <xdr:col>11</xdr:col>
      <xdr:colOff>812800</xdr:colOff>
      <xdr:row>17</xdr:row>
      <xdr:rowOff>241300</xdr:rowOff>
    </xdr:to>
    <xdr:sp macro="" textlink="">
      <xdr:nvSpPr>
        <xdr:cNvPr id="10" name="Round Single Corner of Rectangle 9">
          <a:extLst>
            <a:ext uri="{FF2B5EF4-FFF2-40B4-BE49-F238E27FC236}">
              <a16:creationId xmlns:a16="http://schemas.microsoft.com/office/drawing/2014/main" id="{57EF678E-0E58-A945-BB65-AF76F5244B4C}"/>
            </a:ext>
            <a:ext uri="{C183D7F6-B498-43B3-948B-1728B52AA6E4}">
              <adec:decorative xmlns:adec="http://schemas.microsoft.com/office/drawing/2017/decorative" val="1"/>
            </a:ext>
          </a:extLst>
        </xdr:cNvPr>
        <xdr:cNvSpPr/>
      </xdr:nvSpPr>
      <xdr:spPr>
        <a:xfrm>
          <a:off x="11112500" y="5448300"/>
          <a:ext cx="5765800" cy="10541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b="1">
              <a:solidFill>
                <a:schemeClr val="tx1"/>
              </a:solidFill>
              <a:latin typeface="Arial" panose="020B0604020202020204" pitchFamily="34" charset="0"/>
              <a:cs typeface="Arial" panose="020B0604020202020204" pitchFamily="34" charset="0"/>
            </a:rPr>
            <a:t>Kiinteät kulut: </a:t>
          </a:r>
          <a:r>
            <a:rPr lang="en-GB" sz="1200" b="0">
              <a:solidFill>
                <a:schemeClr val="tx1"/>
              </a:solidFill>
              <a:latin typeface="Arial" panose="020B0604020202020204" pitchFamily="34" charset="0"/>
              <a:cs typeface="Arial" panose="020B0604020202020204" pitchFamily="34" charset="0"/>
            </a:rPr>
            <a:t>Kiinteät kulut ovat kuluja, jotka eivät riipu yrityksen laskutuksen suuruudesta vaan jatkuvat kuukaudesta toiseen melko samansuuruisina. Kiinteitä kuluja ovat esim. muiden työtekijöiden palkat, vakuutukset, vuokrat, toimistokulut, sähkö/vesi jne.</a:t>
          </a:r>
        </a:p>
      </xdr:txBody>
    </xdr:sp>
    <xdr:clientData/>
  </xdr:twoCellAnchor>
  <xdr:twoCellAnchor>
    <xdr:from>
      <xdr:col>5</xdr:col>
      <xdr:colOff>0</xdr:colOff>
      <xdr:row>18</xdr:row>
      <xdr:rowOff>50800</xdr:rowOff>
    </xdr:from>
    <xdr:to>
      <xdr:col>11</xdr:col>
      <xdr:colOff>812800</xdr:colOff>
      <xdr:row>23</xdr:row>
      <xdr:rowOff>203200</xdr:rowOff>
    </xdr:to>
    <xdr:sp macro="" textlink="">
      <xdr:nvSpPr>
        <xdr:cNvPr id="11" name="Round Single Corner of Rectangle 10">
          <a:extLst>
            <a:ext uri="{FF2B5EF4-FFF2-40B4-BE49-F238E27FC236}">
              <a16:creationId xmlns:a16="http://schemas.microsoft.com/office/drawing/2014/main" id="{C62E9EE0-50B3-4947-BAEC-356B32BA359E}"/>
            </a:ext>
            <a:ext uri="{C183D7F6-B498-43B3-948B-1728B52AA6E4}">
              <adec:decorative xmlns:adec="http://schemas.microsoft.com/office/drawing/2017/decorative" val="1"/>
            </a:ext>
          </a:extLst>
        </xdr:cNvPr>
        <xdr:cNvSpPr/>
      </xdr:nvSpPr>
      <xdr:spPr>
        <a:xfrm>
          <a:off x="11112500" y="6565900"/>
          <a:ext cx="5765800" cy="14224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GB" sz="1200" b="1">
              <a:solidFill>
                <a:schemeClr val="tx1"/>
              </a:solidFill>
              <a:latin typeface="Arial" panose="020B0604020202020204" pitchFamily="34" charset="0"/>
              <a:cs typeface="Arial" panose="020B0604020202020204" pitchFamily="34" charset="0"/>
            </a:rPr>
            <a:t>Yrittäjän eläkevakuutus: </a:t>
          </a:r>
          <a:r>
            <a:rPr lang="en-GB" sz="1200" b="0">
              <a:solidFill>
                <a:schemeClr val="tx1"/>
              </a:solidFill>
              <a:latin typeface="Arial" panose="020B0604020202020204" pitchFamily="34" charset="0"/>
              <a:cs typeface="Arial" panose="020B0604020202020204" pitchFamily="34" charset="0"/>
            </a:rPr>
            <a:t>Yrittäjän eläkevakuutusmaksu (YEL) on pakollinen ja arvioidaan yrittäjän omasta YEL-työtulosta. Uusi yrittäjä saa 22 %:n alennuksen 48 ensimmäiseltä kuukaudelta. Esimerkiksi 15 481 €:n vuosityötulosta otettuna alennettu YEL-kuukausimaksu alle 53-vuotiaalle on 246 €/kk. Työntekijän eläkevakuutus (TyEL) on pakollinen silloin, kun yritykseen otetaan palkattu työntekijä.</a:t>
          </a:r>
        </a:p>
      </xdr:txBody>
    </xdr:sp>
    <xdr:clientData/>
  </xdr:twoCellAnchor>
  <xdr:twoCellAnchor>
    <xdr:from>
      <xdr:col>5</xdr:col>
      <xdr:colOff>0</xdr:colOff>
      <xdr:row>28</xdr:row>
      <xdr:rowOff>12700</xdr:rowOff>
    </xdr:from>
    <xdr:to>
      <xdr:col>11</xdr:col>
      <xdr:colOff>812800</xdr:colOff>
      <xdr:row>30</xdr:row>
      <xdr:rowOff>63500</xdr:rowOff>
    </xdr:to>
    <xdr:sp macro="" textlink="">
      <xdr:nvSpPr>
        <xdr:cNvPr id="12" name="Round Single Corner of Rectangle 11">
          <a:extLst>
            <a:ext uri="{FF2B5EF4-FFF2-40B4-BE49-F238E27FC236}">
              <a16:creationId xmlns:a16="http://schemas.microsoft.com/office/drawing/2014/main" id="{A28F20F1-775A-9F4A-A7E9-F3F8566A0BD7}"/>
            </a:ext>
            <a:ext uri="{C183D7F6-B498-43B3-948B-1728B52AA6E4}">
              <adec:decorative xmlns:adec="http://schemas.microsoft.com/office/drawing/2017/decorative" val="1"/>
            </a:ext>
          </a:extLst>
        </xdr:cNvPr>
        <xdr:cNvSpPr/>
      </xdr:nvSpPr>
      <xdr:spPr>
        <a:xfrm>
          <a:off x="11112500" y="8153400"/>
          <a:ext cx="5765800" cy="5588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b="1">
              <a:solidFill>
                <a:schemeClr val="tx1"/>
              </a:solidFill>
              <a:latin typeface="Arial" panose="020B0604020202020204" pitchFamily="34" charset="0"/>
              <a:cs typeface="Arial" panose="020B0604020202020204" pitchFamily="34" charset="0"/>
            </a:rPr>
            <a:t>Myyntikatetarve: </a:t>
          </a:r>
          <a:r>
            <a:rPr lang="en-GB" sz="1200" b="0">
              <a:solidFill>
                <a:schemeClr val="tx1"/>
              </a:solidFill>
              <a:latin typeface="Arial" panose="020B0604020202020204" pitchFamily="34" charset="0"/>
              <a:cs typeface="Arial" panose="020B0604020202020204" pitchFamily="34" charset="0"/>
            </a:rPr>
            <a:t>Laskemalla yhteen yritystoiminnan rahoitustarve, yrityslainojen korot ja kiinteät kulut, saadaan myyntikatetarve.</a:t>
          </a:r>
        </a:p>
      </xdr:txBody>
    </xdr:sp>
    <xdr:clientData/>
  </xdr:twoCellAnchor>
  <xdr:twoCellAnchor>
    <xdr:from>
      <xdr:col>5</xdr:col>
      <xdr:colOff>0</xdr:colOff>
      <xdr:row>30</xdr:row>
      <xdr:rowOff>139700</xdr:rowOff>
    </xdr:from>
    <xdr:to>
      <xdr:col>11</xdr:col>
      <xdr:colOff>812800</xdr:colOff>
      <xdr:row>32</xdr:row>
      <xdr:rowOff>241300</xdr:rowOff>
    </xdr:to>
    <xdr:sp macro="" textlink="">
      <xdr:nvSpPr>
        <xdr:cNvPr id="15" name="Round Single Corner of Rectangle 14">
          <a:extLst>
            <a:ext uri="{FF2B5EF4-FFF2-40B4-BE49-F238E27FC236}">
              <a16:creationId xmlns:a16="http://schemas.microsoft.com/office/drawing/2014/main" id="{A2AA5BE4-565F-854F-B447-AAEEFE22B937}"/>
            </a:ext>
            <a:ext uri="{C183D7F6-B498-43B3-948B-1728B52AA6E4}">
              <adec:decorative xmlns:adec="http://schemas.microsoft.com/office/drawing/2017/decorative" val="1"/>
            </a:ext>
          </a:extLst>
        </xdr:cNvPr>
        <xdr:cNvSpPr/>
      </xdr:nvSpPr>
      <xdr:spPr>
        <a:xfrm>
          <a:off x="11112500" y="8788400"/>
          <a:ext cx="5765800" cy="6096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b="1">
              <a:solidFill>
                <a:schemeClr val="tx1"/>
              </a:solidFill>
              <a:latin typeface="Arial" panose="020B0604020202020204" pitchFamily="34" charset="0"/>
              <a:cs typeface="Arial" panose="020B0604020202020204" pitchFamily="34" charset="0"/>
            </a:rPr>
            <a:t>Arvonlisävero: </a:t>
          </a:r>
          <a:r>
            <a:rPr lang="en-GB" sz="1200" b="0">
              <a:solidFill>
                <a:schemeClr val="tx1"/>
              </a:solidFill>
              <a:latin typeface="Arial" panose="020B0604020202020204" pitchFamily="34" charset="0"/>
              <a:cs typeface="Arial" panose="020B0604020202020204" pitchFamily="34" charset="0"/>
            </a:rPr>
            <a:t>Arvonlisävero riippuu jossain määrin myytävistä tuotteista tai palveluista.</a:t>
          </a:r>
        </a:p>
      </xdr:txBody>
    </xdr:sp>
    <xdr:clientData/>
  </xdr:twoCellAnchor>
  <xdr:twoCellAnchor>
    <xdr:from>
      <xdr:col>5</xdr:col>
      <xdr:colOff>0</xdr:colOff>
      <xdr:row>32</xdr:row>
      <xdr:rowOff>317500</xdr:rowOff>
    </xdr:from>
    <xdr:to>
      <xdr:col>11</xdr:col>
      <xdr:colOff>812800</xdr:colOff>
      <xdr:row>35</xdr:row>
      <xdr:rowOff>0</xdr:rowOff>
    </xdr:to>
    <xdr:sp macro="" textlink="">
      <xdr:nvSpPr>
        <xdr:cNvPr id="16" name="Round Single Corner of Rectangle 15">
          <a:extLst>
            <a:ext uri="{FF2B5EF4-FFF2-40B4-BE49-F238E27FC236}">
              <a16:creationId xmlns:a16="http://schemas.microsoft.com/office/drawing/2014/main" id="{12CC535B-80D8-AF4C-8376-F02677297A5A}"/>
            </a:ext>
            <a:ext uri="{C183D7F6-B498-43B3-948B-1728B52AA6E4}">
              <adec:decorative xmlns:adec="http://schemas.microsoft.com/office/drawing/2017/decorative" val="1"/>
            </a:ext>
          </a:extLst>
        </xdr:cNvPr>
        <xdr:cNvSpPr/>
      </xdr:nvSpPr>
      <xdr:spPr>
        <a:xfrm>
          <a:off x="11112500" y="9474200"/>
          <a:ext cx="5765800" cy="5588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b="1">
              <a:solidFill>
                <a:schemeClr val="tx1"/>
              </a:solidFill>
              <a:latin typeface="Arial" panose="020B0604020202020204" pitchFamily="34" charset="0"/>
              <a:cs typeface="Arial" panose="020B0604020202020204" pitchFamily="34" charset="0"/>
            </a:rPr>
            <a:t>Kokonaismyynti/-laskutus: </a:t>
          </a:r>
          <a:r>
            <a:rPr lang="en-GB" sz="1200" b="0">
              <a:solidFill>
                <a:schemeClr val="tx1"/>
              </a:solidFill>
              <a:latin typeface="Arial" panose="020B0604020202020204" pitchFamily="34" charset="0"/>
              <a:cs typeface="Arial" panose="020B0604020202020204" pitchFamily="34" charset="0"/>
            </a:rPr>
            <a:t>Kokonaismyynti/-laskutus on liikevaihdon ja arvonlisäveron summa.</a:t>
          </a:r>
        </a:p>
      </xdr:txBody>
    </xdr:sp>
    <xdr:clientData/>
  </xdr:twoCellAnchor>
  <xdr:twoCellAnchor>
    <xdr:from>
      <xdr:col>5</xdr:col>
      <xdr:colOff>0</xdr:colOff>
      <xdr:row>35</xdr:row>
      <xdr:rowOff>76200</xdr:rowOff>
    </xdr:from>
    <xdr:to>
      <xdr:col>11</xdr:col>
      <xdr:colOff>812800</xdr:colOff>
      <xdr:row>37</xdr:row>
      <xdr:rowOff>495300</xdr:rowOff>
    </xdr:to>
    <xdr:sp macro="" textlink="">
      <xdr:nvSpPr>
        <xdr:cNvPr id="17" name="Round Single Corner of Rectangle 16">
          <a:extLst>
            <a:ext uri="{FF2B5EF4-FFF2-40B4-BE49-F238E27FC236}">
              <a16:creationId xmlns:a16="http://schemas.microsoft.com/office/drawing/2014/main" id="{8DD2E0DC-9DBE-274C-B5B4-1EE60681B6B7}"/>
            </a:ext>
            <a:ext uri="{C183D7F6-B498-43B3-948B-1728B52AA6E4}">
              <adec:decorative xmlns:adec="http://schemas.microsoft.com/office/drawing/2017/decorative" val="1"/>
            </a:ext>
          </a:extLst>
        </xdr:cNvPr>
        <xdr:cNvSpPr/>
      </xdr:nvSpPr>
      <xdr:spPr>
        <a:xfrm>
          <a:off x="11112500" y="11163300"/>
          <a:ext cx="5765800" cy="10541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b="1">
              <a:solidFill>
                <a:schemeClr val="tx1"/>
              </a:solidFill>
              <a:latin typeface="Arial" panose="020B0604020202020204" pitchFamily="34" charset="0"/>
              <a:cs typeface="Arial" panose="020B0604020202020204" pitchFamily="34" charset="0"/>
            </a:rPr>
            <a:t>Myyntikatetarve (minimi): </a:t>
          </a:r>
          <a:r>
            <a:rPr lang="en-GB" sz="1200" b="0">
              <a:solidFill>
                <a:schemeClr val="tx1"/>
              </a:solidFill>
              <a:latin typeface="Arial" panose="020B0604020202020204" pitchFamily="34" charset="0"/>
              <a:cs typeface="Arial" panose="020B0604020202020204" pitchFamily="34" charset="0"/>
            </a:rPr>
            <a:t>Tämän avulla voit laskea yrityksen kuukausi-, päivä- ja tuntilaskutustarpeen. Ota huomioon että yritys ei aina pysty laskuttamaan täysiä kuukausia, päiviä tai tunteja. Arvioi kuinka monta päivää tai tuntia yrityksesi pystyy laskuttamaan asiakkailtaan kuukaudessa.</a:t>
          </a:r>
        </a:p>
      </xdr:txBody>
    </xdr:sp>
    <xdr:clientData/>
  </xdr:twoCellAnchor>
  <xdr:twoCellAnchor>
    <xdr:from>
      <xdr:col>5</xdr:col>
      <xdr:colOff>330200</xdr:colOff>
      <xdr:row>41</xdr:row>
      <xdr:rowOff>292100</xdr:rowOff>
    </xdr:from>
    <xdr:to>
      <xdr:col>12</xdr:col>
      <xdr:colOff>317500</xdr:colOff>
      <xdr:row>43</xdr:row>
      <xdr:rowOff>114300</xdr:rowOff>
    </xdr:to>
    <xdr:sp macro="" textlink="">
      <xdr:nvSpPr>
        <xdr:cNvPr id="18" name="Round Single Corner of Rectangle 17">
          <a:extLst>
            <a:ext uri="{FF2B5EF4-FFF2-40B4-BE49-F238E27FC236}">
              <a16:creationId xmlns:a16="http://schemas.microsoft.com/office/drawing/2014/main" id="{DA65F5B2-543D-D54F-9F5F-310FF02D736C}"/>
            </a:ext>
            <a:ext uri="{C183D7F6-B498-43B3-948B-1728B52AA6E4}">
              <adec:decorative xmlns:adec="http://schemas.microsoft.com/office/drawing/2017/decorative" val="1"/>
            </a:ext>
          </a:extLst>
        </xdr:cNvPr>
        <xdr:cNvSpPr/>
      </xdr:nvSpPr>
      <xdr:spPr>
        <a:xfrm>
          <a:off x="11468100" y="13373100"/>
          <a:ext cx="5765800" cy="584200"/>
        </a:xfrm>
        <a:prstGeom prst="round1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b="1">
              <a:solidFill>
                <a:schemeClr val="tx1"/>
              </a:solidFill>
              <a:latin typeface="Arial" panose="020B0604020202020204" pitchFamily="34" charset="0"/>
              <a:cs typeface="Arial" panose="020B0604020202020204" pitchFamily="34" charset="0"/>
            </a:rPr>
            <a:t>Kolmen vuoden kasvuprosentti: </a:t>
          </a:r>
          <a:r>
            <a:rPr lang="en-GB" sz="1200" b="0">
              <a:solidFill>
                <a:schemeClr val="tx1"/>
              </a:solidFill>
              <a:latin typeface="Arial" panose="020B0604020202020204" pitchFamily="34" charset="0"/>
              <a:cs typeface="Arial" panose="020B0604020202020204" pitchFamily="34" charset="0"/>
            </a:rPr>
            <a:t>Voit muuttaa tulojen ja menojen kasvuprosenttilukuja.</a:t>
          </a:r>
        </a:p>
      </xdr:txBody>
    </xdr:sp>
    <xdr:clientData/>
  </xdr:twoCellAnchor>
  <xdr:twoCellAnchor editAs="oneCell">
    <xdr:from>
      <xdr:col>0</xdr:col>
      <xdr:colOff>177800</xdr:colOff>
      <xdr:row>0</xdr:row>
      <xdr:rowOff>152400</xdr:rowOff>
    </xdr:from>
    <xdr:to>
      <xdr:col>0</xdr:col>
      <xdr:colOff>2247900</xdr:colOff>
      <xdr:row>0</xdr:row>
      <xdr:rowOff>520700</xdr:rowOff>
    </xdr:to>
    <xdr:pic>
      <xdr:nvPicPr>
        <xdr:cNvPr id="5" name="Picture 4">
          <a:extLst>
            <a:ext uri="{FF2B5EF4-FFF2-40B4-BE49-F238E27FC236}">
              <a16:creationId xmlns:a16="http://schemas.microsoft.com/office/drawing/2014/main" id="{D9D2B25B-6FD3-9046-B284-44AA7C35BC6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177800</xdr:colOff>
      <xdr:row>20</xdr:row>
      <xdr:rowOff>25400</xdr:rowOff>
    </xdr:from>
    <xdr:to>
      <xdr:col>5</xdr:col>
      <xdr:colOff>927100</xdr:colOff>
      <xdr:row>22</xdr:row>
      <xdr:rowOff>279400</xdr:rowOff>
    </xdr:to>
    <xdr:sp macro="" textlink="">
      <xdr:nvSpPr>
        <xdr:cNvPr id="2" name="Rectangle 1">
          <a:extLst>
            <a:ext uri="{FF2B5EF4-FFF2-40B4-BE49-F238E27FC236}">
              <a16:creationId xmlns:a16="http://schemas.microsoft.com/office/drawing/2014/main" id="{AE66EA0E-3E6C-7044-AD0B-BCF74A95387A}"/>
            </a:ext>
            <a:ext uri="{C183D7F6-B498-43B3-948B-1728B52AA6E4}">
              <adec:decorative xmlns:adec="http://schemas.microsoft.com/office/drawing/2017/decorative" val="1"/>
            </a:ext>
          </a:extLst>
        </xdr:cNvPr>
        <xdr:cNvSpPr/>
      </xdr:nvSpPr>
      <xdr:spPr>
        <a:xfrm>
          <a:off x="6311900" y="7366000"/>
          <a:ext cx="3162300" cy="762000"/>
        </a:xfrm>
        <a:prstGeom prst="rect">
          <a:avLst/>
        </a:prstGeom>
        <a:solidFill>
          <a:srgbClr val="F1DB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200">
              <a:solidFill>
                <a:sysClr val="windowText" lastClr="000000"/>
              </a:solidFill>
              <a:latin typeface="Arial" panose="020B0604020202020204" pitchFamily="34" charset="0"/>
              <a:cs typeface="Arial" panose="020B0604020202020204" pitchFamily="34" charset="0"/>
            </a:rPr>
            <a:t>Kannattavuuslaskelman myyntikatetarve kuukaudessa</a:t>
          </a:r>
          <a:r>
            <a:rPr lang="en-GB" sz="1200" baseline="0">
              <a:solidFill>
                <a:sysClr val="windowText" lastClr="000000"/>
              </a:solidFill>
              <a:latin typeface="Arial" panose="020B0604020202020204" pitchFamily="34" charset="0"/>
              <a:cs typeface="Arial" panose="020B0604020202020204" pitchFamily="34" charset="0"/>
            </a:rPr>
            <a:t> siirtynyt automaattisesti "</a:t>
          </a:r>
          <a:r>
            <a:rPr lang="en-GB" sz="1200">
              <a:solidFill>
                <a:sysClr val="windowText" lastClr="000000"/>
              </a:solidFill>
              <a:latin typeface="Arial" panose="020B0604020202020204" pitchFamily="34" charset="0"/>
              <a:cs typeface="Arial" panose="020B0604020202020204" pitchFamily="34" charset="0"/>
            </a:rPr>
            <a:t>Kannattavuuslaskelma"-välilehdeltä.</a:t>
          </a:r>
        </a:p>
      </xdr:txBody>
    </xdr:sp>
    <xdr:clientData/>
  </xdr:twoCellAnchor>
  <xdr:twoCellAnchor editAs="oneCell">
    <xdr:from>
      <xdr:col>0</xdr:col>
      <xdr:colOff>177800</xdr:colOff>
      <xdr:row>0</xdr:row>
      <xdr:rowOff>152400</xdr:rowOff>
    </xdr:from>
    <xdr:to>
      <xdr:col>0</xdr:col>
      <xdr:colOff>2247900</xdr:colOff>
      <xdr:row>0</xdr:row>
      <xdr:rowOff>520700</xdr:rowOff>
    </xdr:to>
    <xdr:pic>
      <xdr:nvPicPr>
        <xdr:cNvPr id="3" name="Picture 2">
          <a:extLst>
            <a:ext uri="{FF2B5EF4-FFF2-40B4-BE49-F238E27FC236}">
              <a16:creationId xmlns:a16="http://schemas.microsoft.com/office/drawing/2014/main" id="{52C1FBBF-4303-5347-A273-6E7438ACD103}"/>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177800</xdr:colOff>
      <xdr:row>0</xdr:row>
      <xdr:rowOff>152400</xdr:rowOff>
    </xdr:from>
    <xdr:to>
      <xdr:col>0</xdr:col>
      <xdr:colOff>2247900</xdr:colOff>
      <xdr:row>0</xdr:row>
      <xdr:rowOff>520700</xdr:rowOff>
    </xdr:to>
    <xdr:pic>
      <xdr:nvPicPr>
        <xdr:cNvPr id="2" name="Picture 1">
          <a:extLst>
            <a:ext uri="{FF2B5EF4-FFF2-40B4-BE49-F238E27FC236}">
              <a16:creationId xmlns:a16="http://schemas.microsoft.com/office/drawing/2014/main" id="{0B9C1C58-10F6-7047-9274-EF90A6D90DA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177800</xdr:colOff>
      <xdr:row>0</xdr:row>
      <xdr:rowOff>152400</xdr:rowOff>
    </xdr:from>
    <xdr:to>
      <xdr:col>0</xdr:col>
      <xdr:colOff>2247900</xdr:colOff>
      <xdr:row>0</xdr:row>
      <xdr:rowOff>520700</xdr:rowOff>
    </xdr:to>
    <xdr:pic>
      <xdr:nvPicPr>
        <xdr:cNvPr id="2" name="Picture 1">
          <a:extLst>
            <a:ext uri="{FF2B5EF4-FFF2-40B4-BE49-F238E27FC236}">
              <a16:creationId xmlns:a16="http://schemas.microsoft.com/office/drawing/2014/main" id="{D1D2AA7B-9669-0241-9936-AE1A04F3C19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177800</xdr:colOff>
      <xdr:row>0</xdr:row>
      <xdr:rowOff>152400</xdr:rowOff>
    </xdr:from>
    <xdr:to>
      <xdr:col>0</xdr:col>
      <xdr:colOff>2247900</xdr:colOff>
      <xdr:row>0</xdr:row>
      <xdr:rowOff>520700</xdr:rowOff>
    </xdr:to>
    <xdr:pic>
      <xdr:nvPicPr>
        <xdr:cNvPr id="3" name="Picture 2">
          <a:extLst>
            <a:ext uri="{FF2B5EF4-FFF2-40B4-BE49-F238E27FC236}">
              <a16:creationId xmlns:a16="http://schemas.microsoft.com/office/drawing/2014/main" id="{EC7FAFC0-A90D-EC49-9239-088C0CF31DF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152400"/>
          <a:ext cx="2070100" cy="3683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36E754-A38F-4547-A970-79D1FFB195F7}" name="Rahan_tarve_taulukko" displayName="Rahan_tarve_taulukko" comment="Rahoituslaskelman rahan tarve -taulukko. Rahan tarve ennen yritystoiminnan aloittamista." ref="A10:C35" totalsRowCount="1" headerRowDxfId="807" dataDxfId="805" totalsRowDxfId="803" headerRowBorderDxfId="806" tableBorderDxfId="804" totalsRowBorderDxfId="802">
  <autoFilter ref="A10:C34" xr:uid="{9736E754-A38F-4547-A970-79D1FFB195F7}">
    <filterColumn colId="0" hiddenButton="1"/>
    <filterColumn colId="1" hiddenButton="1"/>
    <filterColumn colId="2" hiddenButton="1"/>
  </autoFilter>
  <tableColumns count="3">
    <tableColumn id="1" xr3:uid="{812A06A4-93F5-4045-8AE3-EBDA15A20200}" name="Rahan tarve (ennen kuin aloitat yritystoiminnan)" totalsRowLabel="Rahan tarve yhteensä" dataDxfId="801" totalsRowDxfId="800"/>
    <tableColumn id="2" xr3:uid="{58E98FC8-08D5-AE43-96A1-C8B693055D9C}" name="€" totalsRowFunction="sum" dataDxfId="799" totalsRowDxfId="798"/>
    <tableColumn id="3" xr3:uid="{429071AF-1A89-CC48-8C41-7BB871E135A4}" name="Kommentti" dataDxfId="797" totalsRowDxfId="796"/>
  </tableColumns>
  <tableStyleInfo name="Helsinki_taulukko_tyyli" showFirstColumn="1" showLastColumn="0" showRowStripes="0" showColumnStripes="0"/>
  <extLst>
    <ext xmlns:x14="http://schemas.microsoft.com/office/spreadsheetml/2009/9/main" uri="{504A1905-F514-4f6f-8877-14C23A59335A}">
      <x14:table altTextSummary="Rahan tarve -taulukko"/>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6A7E7F5C-0D8F-7A4F-BD55-98FB33A93A74}" name="Kolmen_vuoden_kasvuprosentti_taulukko" displayName="Kolmen_vuoden_kasvuprosentti_taulukko" comment="Kannattavuuslaskelman kolmen vuoden kasvuprosentti prosenttiyksikkönä. Voit määrittää ne itse." ref="A43:D45" totalsRowShown="0" headerRowDxfId="725" dataDxfId="723" headerRowBorderDxfId="724" tableBorderDxfId="722" totalsRowBorderDxfId="721">
  <autoFilter ref="A43:D45" xr:uid="{6A7E7F5C-0D8F-7A4F-BD55-98FB33A93A74}">
    <filterColumn colId="0" hiddenButton="1"/>
    <filterColumn colId="1" hiddenButton="1"/>
    <filterColumn colId="2" hiddenButton="1"/>
    <filterColumn colId="3" hiddenButton="1"/>
  </autoFilter>
  <tableColumns count="4">
    <tableColumn id="1" xr3:uid="{C46AE03F-A410-DA47-88A4-20C8C731CC05}" name="Kolmen vuoden kasvuprosentti" dataDxfId="720"/>
    <tableColumn id="5" xr3:uid="{6AFD461D-8B20-1245-A74B-B217E52ADE79}" name="vuosi 1" dataDxfId="719"/>
    <tableColumn id="2" xr3:uid="{7CBCA5E5-1C71-2544-9312-1ADE9DDF1023}" name="vuosi 2" dataDxfId="718"/>
    <tableColumn id="3" xr3:uid="{13195A37-2535-7848-AA1F-2A4B7E4E75A1}" name="vuosi 3" dataDxfId="717"/>
  </tableColumns>
  <tableStyleInfo name="Helsinki_taulukko_tyyli" showFirstColumn="1" showLastColumn="0" showRowStripes="0" showColumnStripes="0"/>
  <extLst>
    <ext xmlns:x14="http://schemas.microsoft.com/office/spreadsheetml/2009/9/main" uri="{504A1905-F514-4f6f-8877-14C23A59335A}">
      <x14:table altTextSummary="Kolmen vuoden kasvuprosentti -taulukko"/>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85F8EE9-F393-1249-A7AA-E046F065DBF7}" name="Ohjeet_kannattavuuslaskelmaan" displayName="Ohjeet_kannattavuuslaskelmaan" comment="Tarkemmat ohjeet tiettyjen solujen täyttämiseen kannattavuuslaskelma-välilehdellä." ref="A62:A72" totalsRowShown="0" headerRowDxfId="716" dataDxfId="714" headerRowBorderDxfId="715" tableBorderDxfId="713" totalsRowBorderDxfId="712">
  <autoFilter ref="A62:A72" xr:uid="{A85F8EE9-F393-1249-A7AA-E046F065DBF7}">
    <filterColumn colId="0" hiddenButton="1"/>
  </autoFilter>
  <tableColumns count="1">
    <tableColumn id="1" xr3:uid="{60962BD2-DBE3-4E4F-8F29-95C520B7DC62}" name="Ohjeet kannattavuuslaskelmaan:" dataDxfId="711"/>
  </tableColumns>
  <tableStyleInfo name="Helsinki_taulukko_tyyli" showFirstColumn="0" showLastColumn="0" showRowStripes="0" showColumnStripes="0"/>
  <extLst>
    <ext xmlns:x14="http://schemas.microsoft.com/office/spreadsheetml/2009/9/main" uri="{504A1905-F514-4f6f-8877-14C23A59335A}">
      <x14:table altTextSummary="Ohjeet kannattavuuslaskelmaan"/>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7FCEA27-617E-D744-8E46-9D2D9D2302EE}" name="Tuotteiden_myyntimäärä_taulukko" displayName="Tuotteiden_myyntimäärä_taulukko" comment="Kuuden tuotteen/tuoteryhmän kuukasittainen myyntimäärä kuudelle asiaakkalle/asiakasryhmälle." ref="A7:N17" headerRowDxfId="710" dataDxfId="708" totalsRowDxfId="706" headerRowBorderDxfId="709" tableBorderDxfId="707" totalsRowBorderDxfId="705">
  <autoFilter ref="A7:N17" xr:uid="{F7FCEA27-617E-D744-8E46-9D2D9D2302E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35B406D4-272F-234A-8F49-303935145124}" name="Myydyt tuotteet/palvelut per asiakas (nimeä asiakas/asiakasryhmä)" totalsRowLabel="Myydyt tuotteet yhteensä" dataDxfId="704" totalsRowDxfId="703"/>
    <tableColumn id="2" xr3:uid="{BC7F1891-5A34-F341-8E32-8D63F2334BAB}" name="Määrä 1" dataDxfId="702">
      <calculatedColumnFormula>SUM(B4:B7)</calculatedColumnFormula>
    </tableColumn>
    <tableColumn id="8" xr3:uid="{7C5B4822-33BF-A64B-8138-2D4DAB8F719A}" name="Kate _x000a_yhteensä 1" dataDxfId="701">
      <calculatedColumnFormula>B8*C$6</calculatedColumnFormula>
    </tableColumn>
    <tableColumn id="3" xr3:uid="{59D0E1AD-F0B1-714D-8BEB-65022EC6BAC2}" name="Määrä 2" dataDxfId="700">
      <calculatedColumnFormula>SUM(Tuotteiden_myyntimäärä_taulukko[Määrä 2])</calculatedColumnFormula>
    </tableColumn>
    <tableColumn id="9" xr3:uid="{7CD2FCD3-F35B-9648-BA83-9546A3D5BF5E}" name="Kate _x000a_yhteensä 2" dataDxfId="699"/>
    <tableColumn id="4" xr3:uid="{B74DA014-4FB5-8F4B-85DE-62EE8B15C86E}" name="Määrä 3" dataDxfId="698">
      <calculatedColumnFormula>SUM(Tuotteiden_myyntimäärä_taulukko[Määrä 3])</calculatedColumnFormula>
    </tableColumn>
    <tableColumn id="10" xr3:uid="{A70A18C7-E8F6-0245-B3EC-05FB62A16771}" name="Kate _x000a_yhteensä 3" dataDxfId="697"/>
    <tableColumn id="5" xr3:uid="{F17E063E-554C-9840-8AC6-4EF46295BD45}" name="Määrä 4" dataDxfId="696"/>
    <tableColumn id="11" xr3:uid="{DBF6C914-6949-B44A-AA56-E053F8B1C0E9}" name="Kate _x000a_yhteensä 4" dataDxfId="695" totalsRowDxfId="694">
      <calculatedColumnFormula>H8*I$6</calculatedColumnFormula>
    </tableColumn>
    <tableColumn id="6" xr3:uid="{BA819F3E-6F9F-C444-A763-92419B95C28A}" name="Määrä 5" dataDxfId="693" totalsRowDxfId="692">
      <calculatedColumnFormula>SUM(Tuotteiden_myyntimäärä_taulukko[Määrä 5])</calculatedColumnFormula>
    </tableColumn>
    <tableColumn id="12" xr3:uid="{0585EBDC-1E44-9446-89CE-EF6E36D2FF17}" name="Kate _x000a_yhteensä 5" dataDxfId="691" totalsRowDxfId="690">
      <calculatedColumnFormula>J8*K$6</calculatedColumnFormula>
    </tableColumn>
    <tableColumn id="7" xr3:uid="{47149505-FB6C-5E40-AA1B-BBF54C492C07}" name="Määrä 6" dataDxfId="689">
      <calculatedColumnFormula>SUM(Tuotteiden_myyntimäärä_taulukko[Määrä 6])</calculatedColumnFormula>
    </tableColumn>
    <tableColumn id="13" xr3:uid="{204586BF-E19B-B94D-A42D-79BE727D6B95}" name="Kate _x000a_yhteensä 6" dataDxfId="688">
      <calculatedColumnFormula>L8*M$6</calculatedColumnFormula>
    </tableColumn>
    <tableColumn id="14" xr3:uid="{276D0C6E-529B-7A4F-A344-2B61B55BE24E}" name="Kaikki tuotteet" dataDxfId="687">
      <calculatedColumnFormula>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calculatedColumnFormula>
    </tableColumn>
  </tableColumns>
  <tableStyleInfo name="Helsinki_taulukko_tyyli" showFirstColumn="1" showLastColumn="0" showRowStripes="0" showColumnStripes="0"/>
  <extLst>
    <ext xmlns:x14="http://schemas.microsoft.com/office/spreadsheetml/2009/9/main" uri="{504A1905-F514-4f6f-8877-14C23A59335A}">
      <x14:table altTextSummary="Tuotteiden myyntimäärä -taulukko"/>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1B9F4B2-7E37-AF45-B4B3-B29718495E5E}" name="Myynnin_yhteenveto_taulukko" displayName="Myynnin_yhteenveto_taulukko" comment="Kuuden tuotteen/tuoteryhmän kuukausittaisen ja vuosittaisen myynnin yhteenveto." ref="A18:C24" headerRowDxfId="686" dataDxfId="684" totalsRowDxfId="682" headerRowBorderDxfId="685" tableBorderDxfId="683" totalsRowBorderDxfId="681">
  <autoFilter ref="A18:C24" xr:uid="{71B9F4B2-7E37-AF45-B4B3-B29718495E5E}">
    <filterColumn colId="0" hiddenButton="1"/>
    <filterColumn colId="1" hiddenButton="1"/>
    <filterColumn colId="2" hiddenButton="1"/>
  </autoFilter>
  <tableColumns count="3">
    <tableColumn id="1" xr3:uid="{2163E343-AF68-C042-A3BA-9A11C81C8C31}" name="Myynnin yhteenveto" totalsRowLabel="Total" dataDxfId="680" totalsRowDxfId="679"/>
    <tableColumn id="2" xr3:uid="{C944D976-2844-5D4B-A301-B54EEB3BE462}" name="Kuukaudessa" dataDxfId="678"/>
    <tableColumn id="3" xr3:uid="{139A0563-A34B-7843-824F-A538B8D44B88}" name="Vuodessa" totalsRowFunction="count" dataDxfId="677"/>
  </tableColumns>
  <tableStyleInfo name="Helsinki_taulukko_tyyli" showFirstColumn="1" showLastColumn="0" showRowStripes="0" showColumnStripes="0"/>
  <extLst>
    <ext xmlns:x14="http://schemas.microsoft.com/office/spreadsheetml/2009/9/main" uri="{504A1905-F514-4f6f-8877-14C23A59335A}">
      <x14:table altTextSummary="Myynnin yhteenveto -taulukko"/>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5E3A27FA-CB6C-1A45-8D6C-1754DDF3AF93}" name="Tuotteiden_hinnat_taulukko" displayName="Tuotteiden_hinnat_taulukko" comment="Kuuden tuotteen/tuoteryhmän kuukausittaiset hinnat, kulut ja katteet ilman alvia." ref="A4:M6" totalsRowShown="0" headerRowDxfId="676" dataDxfId="675" tableBorderDxfId="674">
  <autoFilter ref="A4:M6" xr:uid="{5E3A27FA-CB6C-1A45-8D6C-1754DDF3AF9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4771AA42-F52D-0B4E-BDAF-0E66174BEE76}" name="Tuotteiden/tuoteryhmien hinnat, _x000a_€/kk ilman arvonlisäveroa" dataDxfId="673"/>
    <tableColumn id="2" xr3:uid="{A17F6616-B04D-0C48-88EB-0F89541113B7}" name="Veroton _x000a_hinta 1" dataDxfId="672">
      <calculatedColumnFormula>B4-C4</calculatedColumnFormula>
    </tableColumn>
    <tableColumn id="3" xr3:uid="{84568620-51BB-C649-B9FD-B7A36DC47D91}" name="Kulut 1" dataDxfId="671">
      <calculatedColumnFormula>B4-C4</calculatedColumnFormula>
    </tableColumn>
    <tableColumn id="4" xr3:uid="{C98832E2-17B3-5D40-BC93-CF3F4B06B060}" name="Veroton _x000a_hinta 2" dataDxfId="670"/>
    <tableColumn id="5" xr3:uid="{DCC14671-D1EF-5F4C-A812-45F5BD2B2AD6}" name="Kulut 2" dataDxfId="669">
      <calculatedColumnFormula>D4-E4</calculatedColumnFormula>
    </tableColumn>
    <tableColumn id="6" xr3:uid="{0DDB1206-FB04-1741-A76E-4BCE548FC752}" name="Veroton _x000a_hinta 3" dataDxfId="668"/>
    <tableColumn id="7" xr3:uid="{B60F6E70-2BDC-0D40-B00A-ACD01C38943A}" name="Kulut 3" dataDxfId="667">
      <calculatedColumnFormula>F4-G4</calculatedColumnFormula>
    </tableColumn>
    <tableColumn id="8" xr3:uid="{D19D1F2F-9E32-DC40-B285-8D2DFAAE197D}" name="Veroton _x000a_hinta 4" dataDxfId="666"/>
    <tableColumn id="9" xr3:uid="{75292075-4172-0041-A8FF-6CDF3166E574}" name="Kulut 4" dataDxfId="665">
      <calculatedColumnFormula>H4-I4</calculatedColumnFormula>
    </tableColumn>
    <tableColumn id="10" xr3:uid="{4A0152DB-AE38-9D49-80F5-54AD88E23F88}" name="Veroton _x000a_hinta 5" dataDxfId="664"/>
    <tableColumn id="11" xr3:uid="{FAFD83E7-39C5-D845-80CE-2EC317284A65}" name="Kulut 5" dataDxfId="663">
      <calculatedColumnFormula>J4-K4</calculatedColumnFormula>
    </tableColumn>
    <tableColumn id="12" xr3:uid="{846257EE-BDD2-0A4D-8CFE-DEFF0565E522}" name="Veroton _x000a_hinta 6" dataDxfId="662"/>
    <tableColumn id="13" xr3:uid="{9E7ECD87-33B9-0643-AA5C-BC17461B84B8}" name="Kulut 6" dataDxfId="661">
      <calculatedColumnFormula>L4-M4</calculatedColumnFormula>
    </tableColumn>
  </tableColumns>
  <tableStyleInfo name="Helsinki_taulukko_tyyli"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60A1218-0546-5B4B-AC2C-2B93DEACA6BC}" name="Kassaanmaksu_taulukko_1" displayName="Kassaanmaksu_taulukko_1" comment="Ensimmäisen vuoden jaksoittainen kassaanmaksu taulukko." ref="A10:O15" headerRowDxfId="660" dataDxfId="658" totalsRowDxfId="656" headerRowBorderDxfId="659" tableBorderDxfId="657" totalsRowBorderDxfId="655">
  <autoFilter ref="A10:O15"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0CEE2843-0A04-4A48-8A95-682329E3F0D4}" name="Kassaanmaksu, eli tulot" totalsRowLabel="Yhteensä" dataDxfId="654" totalsRowDxfId="653"/>
    <tableColumn id="2" xr3:uid="{0C3E6E12-490D-984D-B780-3C39CAC6CD6C}" name="Arvio" totalsRowFunction="sum" dataDxfId="652" totalsRowDxfId="651">
      <calculatedColumnFormula>SUM(B8:B10)</calculatedColumnFormula>
    </tableColumn>
    <tableColumn id="3" xr3:uid="{4BAF0E79-25A0-9A4F-8346-5C78EC539E6D}" name="Jakso 1" totalsRowFunction="sum" dataDxfId="650" totalsRowDxfId="649"/>
    <tableColumn id="4" xr3:uid="{DD3D7539-7E68-A64E-85A0-A6CBD0F2690B}" name="Jakso 2" totalsRowFunction="sum" dataDxfId="648" totalsRowDxfId="647"/>
    <tableColumn id="5" xr3:uid="{155A3FCA-B998-EE4B-8E3E-40ADA98AD13F}" name="Jakso 3" totalsRowFunction="sum" dataDxfId="646" totalsRowDxfId="645"/>
    <tableColumn id="6" xr3:uid="{611A7554-8DB1-D54A-94C4-74E580DEA7CA}" name="Jakso 4" totalsRowFunction="sum" dataDxfId="644" totalsRowDxfId="643"/>
    <tableColumn id="7" xr3:uid="{340F6D36-24EC-7647-B7AB-EDD066AF2E24}" name="Jakso 5" totalsRowFunction="sum" dataDxfId="642" totalsRowDxfId="641"/>
    <tableColumn id="8" xr3:uid="{3D357208-6DDB-1E48-B1B5-2A829E98B009}" name="Jakso 6" totalsRowFunction="sum" dataDxfId="640" totalsRowDxfId="639"/>
    <tableColumn id="9" xr3:uid="{756AA6AA-59A7-2348-BB0C-D989C97A9912}" name="Jakso 7" totalsRowFunction="sum" dataDxfId="638" totalsRowDxfId="637"/>
    <tableColumn id="10" xr3:uid="{B5B911E9-4600-3646-8937-81842DF0F015}" name="Jakso 8" totalsRowFunction="sum" dataDxfId="636" totalsRowDxfId="635"/>
    <tableColumn id="11" xr3:uid="{866C7ED1-7291-E44D-B0E4-BE316FFB25F2}" name="Jakso 9" totalsRowFunction="sum" dataDxfId="634" totalsRowDxfId="633"/>
    <tableColumn id="12" xr3:uid="{D5DAD8DE-88D2-9D4D-A4C8-1783414FA538}" name="Jakso 10" totalsRowFunction="sum" dataDxfId="632" totalsRowDxfId="631"/>
    <tableColumn id="13" xr3:uid="{4109E121-4E80-F840-B67E-6120DC701FAE}" name="Jakso 11" totalsRowFunction="sum" dataDxfId="630" totalsRowDxfId="629"/>
    <tableColumn id="14" xr3:uid="{EE685BBD-B5FB-994B-A9A2-ED92FF228911}" name="Jakso 12" totalsRowFunction="sum" dataDxfId="628" totalsRowDxfId="627"/>
    <tableColumn id="15" xr3:uid="{0A85D873-D275-2C47-AA6F-C0D8E10F8372}" name="Yhteensä" totalsRowFunction="sum" dataDxfId="626">
      <calculatedColumnFormula>SUM(Kassaanmaksu_taulukko_1[[#This Row],[Arvio]:[Jakso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9711FDB-A19A-7741-A748-BA2445773EAB}" name="Kassastamaksu_taulukko_1" displayName="Kassastamaksu_taulukko_1" comment="Ensimmäisen vuoden jaksoittainen kassastamaksu (alv 0%) taulukko." ref="A22:O32" totalsRowCount="1" headerRowDxfId="625" dataDxfId="623" totalsRowDxfId="621" headerRowBorderDxfId="624" tableBorderDxfId="622" totalsRowBorderDxfId="620">
  <autoFilter ref="A22:O31"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522B3C23-86C5-3947-8296-0D3E8CD31505}" name="Kassastamaksu (alv 0%)" totalsRowLabel="Kassastamaksu yhteensä" dataDxfId="619" totalsRowDxfId="618"/>
    <tableColumn id="2" xr3:uid="{634CEB58-DDCF-BF49-B1A9-D6AD4DA7F8B6}" name="Arvio" totalsRowFunction="custom" dataDxfId="617" totalsRowDxfId="616">
      <totalsRowFormula>SUM(Kassastamaksu_taulukko_1[Arvio],B19)</totalsRowFormula>
    </tableColumn>
    <tableColumn id="3" xr3:uid="{4FEA20C7-9C2D-6545-9351-44D02A0FBB33}" name="Jakso 1" totalsRowFunction="custom" dataDxfId="615" totalsRowDxfId="614">
      <totalsRowFormula>SUM(Kassastamaksu_taulukko_1[Jakso 1],C19)</totalsRowFormula>
    </tableColumn>
    <tableColumn id="4" xr3:uid="{5749097C-4533-D541-BC47-E0E54ADD6871}" name="Jakso 2" totalsRowFunction="custom" dataDxfId="613" totalsRowDxfId="612">
      <totalsRowFormula>SUM(Kassastamaksu_taulukko_1[Jakso 2],D19,D21)</totalsRowFormula>
    </tableColumn>
    <tableColumn id="5" xr3:uid="{6E385925-E9FF-DE4B-891C-3C6D2EBDF530}" name="Jakso 3" totalsRowFunction="custom" dataDxfId="611" totalsRowDxfId="610">
      <totalsRowFormula>SUM(Kassastamaksu_taulukko_1[Jakso 3],E19,E21)</totalsRowFormula>
    </tableColumn>
    <tableColumn id="6" xr3:uid="{1E5046EF-B576-4443-8C14-0EB15B7B8C34}" name="Jakso 4" totalsRowFunction="custom" dataDxfId="609" totalsRowDxfId="608">
      <totalsRowFormula>SUM(Kassastamaksu_taulukko_1[Jakso 4],F19,F21)</totalsRowFormula>
    </tableColumn>
    <tableColumn id="7" xr3:uid="{9587C80D-15F3-4146-8A6E-AEC9054A891C}" name="Jakso 5" totalsRowFunction="custom" dataDxfId="607" totalsRowDxfId="606">
      <totalsRowFormula>SUM(Kassastamaksu_taulukko_1[Jakso 5],G19,G21)</totalsRowFormula>
    </tableColumn>
    <tableColumn id="8" xr3:uid="{4EA2B955-461B-7145-8D26-94AABEC2B2DA}" name="Jakso 6" totalsRowFunction="custom" dataDxfId="605" totalsRowDxfId="604">
      <totalsRowFormula>SUM(Kassastamaksu_taulukko_1[Jakso 6],H19,H21)</totalsRowFormula>
    </tableColumn>
    <tableColumn id="9" xr3:uid="{546E420A-B49F-DD44-9948-A99C8CBD21E1}" name="Jakso 7" totalsRowFunction="custom" dataDxfId="603" totalsRowDxfId="602">
      <totalsRowFormula>SUM(Kassastamaksu_taulukko_1[Jakso 7],I19,I21)</totalsRowFormula>
    </tableColumn>
    <tableColumn id="10" xr3:uid="{C983847E-C103-5341-81F2-F55D85B7A369}" name="Jakso 8" totalsRowFunction="custom" dataDxfId="601" totalsRowDxfId="600">
      <totalsRowFormula>SUM(Kassastamaksu_taulukko_1[Jakso 8],J19,J21)</totalsRowFormula>
    </tableColumn>
    <tableColumn id="11" xr3:uid="{5981EC1A-BFFE-A74B-B45E-5AF13B726CBB}" name="Jakso 9" totalsRowFunction="custom" dataDxfId="599" totalsRowDxfId="598">
      <totalsRowFormula>SUM(Kassastamaksu_taulukko_1[Jakso 9],K19,K21)</totalsRowFormula>
    </tableColumn>
    <tableColumn id="12" xr3:uid="{0053C6F7-4D25-A74D-A68A-78B7AC476CFB}" name="Jakso 10" totalsRowFunction="custom" dataDxfId="597" totalsRowDxfId="596">
      <totalsRowFormula>SUM(Kassastamaksu_taulukko_1[Jakso 10],L19,L21)</totalsRowFormula>
    </tableColumn>
    <tableColumn id="13" xr3:uid="{8159FAE5-52B7-A648-A848-A963D4C78DE2}" name="Jakso 11" totalsRowFunction="custom" dataDxfId="595" totalsRowDxfId="594">
      <totalsRowFormula>SUM(Kassastamaksu_taulukko_1[Jakso 11],M19,M21)</totalsRowFormula>
    </tableColumn>
    <tableColumn id="14" xr3:uid="{E53B5370-4DD8-A147-AD0F-463F60C7E1C4}" name="Jakso 12" totalsRowFunction="custom" dataDxfId="593" totalsRowDxfId="592">
      <totalsRowFormula>SUM(Kassastamaksu_taulukko_1[Jakso 12],N19,N21)</totalsRowFormula>
    </tableColumn>
    <tableColumn id="15" xr3:uid="{AFD5CF23-4E68-E146-85E3-4A2AC8161FA1}" name="Yhteensä" totalsRowFunction="custom" dataDxfId="591" totalsRowDxfId="590">
      <calculatedColumnFormula>SUM(Kassastamaksu_taulukko_1[[#This Row],[Arvio]:[Jakso 12]])</calculatedColumnFormula>
      <totalsRowFormula>SUM(Kassastamaksu_taulukko_1[[#Totals],[Arvio]:[Jakso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859B1C7-FD8F-A44C-B13C-88F30BFD3BAE}" name="Alkukassa_taulukko_1" displayName="Alkukassa_taulukko_1" comment="Ensimmäisen vuoden jaksoittaiset rahavarat kauden alussa." ref="A8:O9" headerRowDxfId="589" dataDxfId="587" totalsRowDxfId="585" headerRowBorderDxfId="588" tableBorderDxfId="586" totalsRowBorderDxfId="584">
  <autoFilter ref="A8:O9"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D06AEBC0-D343-2441-A585-7EBE7E4F4D43}" name="Alkukassa, eli rahavarat kauden alussa" totalsRowLabel="Total" dataDxfId="583"/>
    <tableColumn id="2" xr3:uid="{76C39746-1B35-0849-AD8E-37165ABD9082}" name="Arvio" dataDxfId="582"/>
    <tableColumn id="3" xr3:uid="{C210AD37-9AF0-1E47-AE0F-70F455A1350A}" name="Jakso 1" dataDxfId="581">
      <calculatedColumnFormula>B42</calculatedColumnFormula>
    </tableColumn>
    <tableColumn id="4" xr3:uid="{E5967332-3CCD-4849-B3D9-9CB621F398C5}" name="Jakso 2" dataDxfId="580">
      <calculatedColumnFormula>C42</calculatedColumnFormula>
    </tableColumn>
    <tableColumn id="5" xr3:uid="{970242AC-A007-4043-A0B4-5743872FFF36}" name="Jakso 3" dataDxfId="579">
      <calculatedColumnFormula>D42</calculatedColumnFormula>
    </tableColumn>
    <tableColumn id="6" xr3:uid="{4FA31700-4D64-784D-BD57-7E2DD2EC13D5}" name="Jakso 4" dataDxfId="578">
      <calculatedColumnFormula>E42</calculatedColumnFormula>
    </tableColumn>
    <tableColumn id="7" xr3:uid="{45521E9E-CAE3-B54A-A632-AB716BECC480}" name="Jakso 5" dataDxfId="577">
      <calculatedColumnFormula>F42</calculatedColumnFormula>
    </tableColumn>
    <tableColumn id="8" xr3:uid="{CF15E253-2ED1-4B47-A234-1AC6A8C65586}" name="Jakso 6" dataDxfId="576">
      <calculatedColumnFormula>G42</calculatedColumnFormula>
    </tableColumn>
    <tableColumn id="9" xr3:uid="{841657B8-670A-E740-93FB-F38AC1CBD79F}" name="Jakso 7" dataDxfId="575">
      <calculatedColumnFormula>H42</calculatedColumnFormula>
    </tableColumn>
    <tableColumn id="10" xr3:uid="{8D06C9DD-672F-E543-99CC-0397A357F5FD}" name="Jakso 8" dataDxfId="574">
      <calculatedColumnFormula>I42</calculatedColumnFormula>
    </tableColumn>
    <tableColumn id="11" xr3:uid="{CC06866C-BA61-EB44-84E1-001AE9208EFC}" name="Jakso 9" dataDxfId="573">
      <calculatedColumnFormula>J42</calculatedColumnFormula>
    </tableColumn>
    <tableColumn id="12" xr3:uid="{E1542018-23B4-564F-B901-259D595F9ABC}" name="Jakso 10" dataDxfId="572">
      <calculatedColumnFormula>K42</calculatedColumnFormula>
    </tableColumn>
    <tableColumn id="13" xr3:uid="{98B5935B-CEE3-1549-984E-B492A403DF95}" name="Jakso 11" dataDxfId="571">
      <calculatedColumnFormula>L42</calculatedColumnFormula>
    </tableColumn>
    <tableColumn id="14" xr3:uid="{11E288B0-7363-D946-B7DA-25BE56CE0ABC}" name="Jakso 12" dataDxfId="570">
      <calculatedColumnFormula>M42</calculatedColumnFormula>
    </tableColumn>
    <tableColumn id="15" xr3:uid="{2CF25CBD-FDFF-BE4B-995C-EA8B4CE5B554}" name="Yhteensä" totalsRowFunction="sum" dataDxfId="569"/>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A23FAC7-F6C9-C84C-96AE-3DE9DA5CF41C}" name="Alkukassa_ja_tulot_taulukko_1" displayName="Alkukassa_ja_tulot_taulukko_1" comment="Ensimmäisen vuoden jaksoittaiset alkukassan ja tulojen summat." ref="A16:O17" headerRowDxfId="568" dataDxfId="566" totalsRowDxfId="564" headerRowBorderDxfId="567" tableBorderDxfId="565" totalsRowBorderDxfId="563">
  <autoFilter ref="A16:O17"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F944D49-E699-D542-B3B6-230371D76A11}" name="Alkukassa ja tulot" totalsRowLabel="Total" dataDxfId="562" totalsRowDxfId="561"/>
    <tableColumn id="2" xr3:uid="{239E875B-0C69-1C44-A062-7FF29E1F6CB3}" name="Arvio" dataDxfId="560" totalsRowDxfId="559">
      <calculatedColumnFormula>SUM(Alkukassa_taulukko_1[Arvio],B15)</calculatedColumnFormula>
    </tableColumn>
    <tableColumn id="3" xr3:uid="{C98BB46D-01B8-344F-96C6-7C3915A6CC58}" name="Jakso 1" dataDxfId="558" totalsRowDxfId="557">
      <calculatedColumnFormula>SUM(Alkukassa_taulukko_1[Jakso 1],C15)</calculatedColumnFormula>
    </tableColumn>
    <tableColumn id="4" xr3:uid="{DDE9728F-41AA-EA41-8EE4-E04B54E11418}" name="Jakso 2" dataDxfId="556" totalsRowDxfId="555">
      <calculatedColumnFormula>SUM(Alkukassa_taulukko_1[Jakso 2],D15)</calculatedColumnFormula>
    </tableColumn>
    <tableColumn id="5" xr3:uid="{7D66D97F-0765-0347-9F4C-78C24C56DA44}" name="Jakso 3" dataDxfId="554" totalsRowDxfId="553">
      <calculatedColumnFormula>SUM(Alkukassa_taulukko_1[Jakso 3],E15)</calculatedColumnFormula>
    </tableColumn>
    <tableColumn id="6" xr3:uid="{CF7C6774-BC91-AB47-AF80-5172F2139E7D}" name="Jakso 4" dataDxfId="552" totalsRowDxfId="551">
      <calculatedColumnFormula>SUM(Alkukassa_taulukko_1[Jakso 4],F15)</calculatedColumnFormula>
    </tableColumn>
    <tableColumn id="7" xr3:uid="{A32EC06F-840D-E24A-8F07-F79D4A487160}" name="Jakso 5" dataDxfId="550" totalsRowDxfId="549">
      <calculatedColumnFormula>SUM(Alkukassa_taulukko_1[Jakso 5],G15)</calculatedColumnFormula>
    </tableColumn>
    <tableColumn id="8" xr3:uid="{D44B4EE8-4BDC-3349-B560-113991FA82FF}" name="Jakso 6" dataDxfId="548" totalsRowDxfId="547">
      <calculatedColumnFormula>SUM(Alkukassa_taulukko_1[Jakso 6],H15)</calculatedColumnFormula>
    </tableColumn>
    <tableColumn id="9" xr3:uid="{C49BA971-C6CB-4D4A-A882-E7EF59BDA5C8}" name="Jakso 7" dataDxfId="546" totalsRowDxfId="545">
      <calculatedColumnFormula>SUM(Alkukassa_taulukko_1[Jakso 7],I15)</calculatedColumnFormula>
    </tableColumn>
    <tableColumn id="10" xr3:uid="{06990DB2-3DD6-0945-8DB8-53E1FF05D731}" name="Jakso 8" dataDxfId="544" totalsRowDxfId="543">
      <calculatedColumnFormula>SUM(Alkukassa_taulukko_1[Jakso 8],J15)</calculatedColumnFormula>
    </tableColumn>
    <tableColumn id="11" xr3:uid="{C40EF2B1-A96D-6749-A700-352F472D1595}" name="Jakso 9" dataDxfId="542" totalsRowDxfId="541">
      <calculatedColumnFormula>SUM(Alkukassa_taulukko_1[Jakso 9],K15)</calculatedColumnFormula>
    </tableColumn>
    <tableColumn id="12" xr3:uid="{4587C0BB-226F-D849-9DBA-8E3FE7620F57}" name="Jakso 10" dataDxfId="540" totalsRowDxfId="539">
      <calculatedColumnFormula>SUM(Alkukassa_taulukko_1[Jakso 10],L15)</calculatedColumnFormula>
    </tableColumn>
    <tableColumn id="13" xr3:uid="{84FC0671-A928-B74D-8E9C-E6FBCDC60C70}" name="Jakso 11" dataDxfId="538" totalsRowDxfId="537">
      <calculatedColumnFormula>SUM(Alkukassa_taulukko_1[Jakso 11],M15)</calculatedColumnFormula>
    </tableColumn>
    <tableColumn id="14" xr3:uid="{568DB183-999A-E44A-8285-6A85784D8E4B}" name="Jakso 12" dataDxfId="536" totalsRowDxfId="535">
      <calculatedColumnFormula>SUM(Alkukassa_taulukko_1[Jakso 12],N15)</calculatedColumnFormula>
    </tableColumn>
    <tableColumn id="15" xr3:uid="{672F0DBD-65AE-454C-9DD3-94B65F677E4D}" name="Yhteensä" totalsRowFunction="sum" dataDxfId="534" totalsRowDxfId="533"/>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7E86B2D-0B2E-D645-BA90-973ABE71AAEC}" name="Maksuvalmius_taulukko_1" displayName="Maksuvalmius_taulukko_1" comment="Ensimmäisen vuoden jaksoittaiset alkukassan, tulojen ja kassastamaksun summat." ref="A41:O43" totalsRowShown="0" headerRowDxfId="532" dataDxfId="530" headerRowBorderDxfId="531" tableBorderDxfId="529" totalsRowBorderDxfId="528">
  <autoFilter ref="A41:O43"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727C1C92-1861-614C-A059-E1ED6F3DDDD5}" name="Maksuvalmius (kuun lopussa)" dataDxfId="527"/>
    <tableColumn id="2" xr3:uid="{D10DD023-E078-0A48-BCEA-5ADD7F5709A7}" name="Arvio" dataDxfId="526">
      <calculatedColumnFormula>SUM(Alkukassa_ja_tulot_taulukko_1[Arvio],-Kassastamaksu_taulukko_1[[#Totals],[Arvio]],Rahoitus_taulukko_1[[#Totals],[Arvio]])</calculatedColumnFormula>
    </tableColumn>
    <tableColumn id="3" xr3:uid="{097ACB1C-8B97-F649-8F56-A982952CFBDC}" name="Jakso 1" dataDxfId="525">
      <calculatedColumnFormula>SUM(Alkukassa_ja_tulot_taulukko_1[Jakso 1],-Kassastamaksu_taulukko_1[[#Totals],[Jakso 1]],Rahoitus_taulukko_1[[#Totals],[Jakso 1]])</calculatedColumnFormula>
    </tableColumn>
    <tableColumn id="4" xr3:uid="{212054C4-0F4A-ED4C-9D3F-13423745932D}" name="Jakso 2" dataDxfId="524">
      <calculatedColumnFormula>SUM(Alkukassa_ja_tulot_taulukko_1[Jakso 2],-Kassastamaksu_taulukko_1[[#Totals],[Jakso 2]],Rahoitus_taulukko_1[[#Totals],[Jakso 2]])</calculatedColumnFormula>
    </tableColumn>
    <tableColumn id="5" xr3:uid="{0AA7A363-3EAC-8C46-A285-40077EAF1D09}" name="Jakso 3" dataDxfId="523">
      <calculatedColumnFormula>SUM(Alkukassa_ja_tulot_taulukko_1[Jakso 3],-Kassastamaksu_taulukko_1[[#Totals],[Jakso 3]],Rahoitus_taulukko_1[[#Totals],[Jakso 3]])</calculatedColumnFormula>
    </tableColumn>
    <tableColumn id="6" xr3:uid="{A9A6FAE3-7E52-B348-9C5D-699EC64686BC}" name="Jakso 4" dataDxfId="522">
      <calculatedColumnFormula>SUM(Alkukassa_ja_tulot_taulukko_1[Jakso 4],-Kassastamaksu_taulukko_1[[#Totals],[Jakso 4]],Rahoitus_taulukko_1[[#Totals],[Jakso 4]])</calculatedColumnFormula>
    </tableColumn>
    <tableColumn id="7" xr3:uid="{6EA9E331-0EA8-1242-B81A-4C667AB34428}" name="Jakso 5" dataDxfId="521">
      <calculatedColumnFormula>SUM(Alkukassa_ja_tulot_taulukko_1[Jakso 5],-Kassastamaksu_taulukko_1[[#Totals],[Jakso 5]],Rahoitus_taulukko_1[[#Totals],[Jakso 5]])</calculatedColumnFormula>
    </tableColumn>
    <tableColumn id="8" xr3:uid="{61342308-CC36-584B-9540-B8330A1E2461}" name="Jakso 6" dataDxfId="520">
      <calculatedColumnFormula>SUM(Alkukassa_ja_tulot_taulukko_1[Jakso 6],-Kassastamaksu_taulukko_1[[#Totals],[Jakso 6]],Rahoitus_taulukko_1[[#Totals],[Jakso 6]])</calculatedColumnFormula>
    </tableColumn>
    <tableColumn id="9" xr3:uid="{0657734F-1FF2-5C4C-9D95-BF529219E194}" name="Jakso 7" dataDxfId="519">
      <calculatedColumnFormula>SUM(Alkukassa_ja_tulot_taulukko_1[Jakso 7],-Kassastamaksu_taulukko_1[[#Totals],[Jakso 7]],Rahoitus_taulukko_1[[#Totals],[Jakso 7]])</calculatedColumnFormula>
    </tableColumn>
    <tableColumn id="10" xr3:uid="{9A21286E-F052-E04B-B97D-DEF4F7F5AB1F}" name="Jakso 8" dataDxfId="518">
      <calculatedColumnFormula>SUM(Alkukassa_ja_tulot_taulukko_1[Jakso 8],-Kassastamaksu_taulukko_1[[#Totals],[Jakso 8]],Rahoitus_taulukko_1[[#Totals],[Jakso 8]])</calculatedColumnFormula>
    </tableColumn>
    <tableColumn id="11" xr3:uid="{DBAF5266-61E0-DC41-9B7A-72CFDEE945ED}" name="Jakso 9" dataDxfId="517">
      <calculatedColumnFormula>SUM(Alkukassa_ja_tulot_taulukko_1[Jakso 9],-Kassastamaksu_taulukko_1[[#Totals],[Jakso 9]],Rahoitus_taulukko_1[[#Totals],[Jakso 9]])</calculatedColumnFormula>
    </tableColumn>
    <tableColumn id="12" xr3:uid="{A936E053-04CC-3F4C-8562-058614D8332E}" name="Jakso 10" dataDxfId="516">
      <calculatedColumnFormula>SUM(Alkukassa_ja_tulot_taulukko_1[Jakso 10],-Kassastamaksu_taulukko_1[[#Totals],[Jakso 10]],Rahoitus_taulukko_1[[#Totals],[Jakso 10]])</calculatedColumnFormula>
    </tableColumn>
    <tableColumn id="13" xr3:uid="{F6D6C17D-BE7F-E545-9639-9C557340BAAC}" name="Jakso 11" dataDxfId="515">
      <calculatedColumnFormula>SUM(Alkukassa_ja_tulot_taulukko_1[Jakso 11],-Kassastamaksu_taulukko_1[[#Totals],[Jakso 11]],Rahoitus_taulukko_1[[#Totals],[Jakso 11]])</calculatedColumnFormula>
    </tableColumn>
    <tableColumn id="14" xr3:uid="{31D76C86-A114-644D-9620-69FB7348CBFA}" name="Jakso 12" dataDxfId="514">
      <calculatedColumnFormula>SUM(Alkukassa_ja_tulot_taulukko_1[Jakso 12],-Kassastamaksu_taulukko_1[[#Totals],[Jakso 12]],Rahoitus_taulukko_1[[#Totals],[Jakso 12]])</calculatedColumnFormula>
    </tableColumn>
    <tableColumn id="15" xr3:uid="{2A950F9B-369B-A849-88DD-2F3B3A2D1812}" name="Yhteensä" dataDxfId="513">
      <calculatedColumnFormula>SUM(Maksuvalmius_taulukko_1[[#This Row],[Arvio]:[Jakso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3D00F8E-4FE8-5343-9E50-05611CDD7B09}" name="Rahan_lähteet_taulukko" displayName="Rahan_lähteet_taulukko" comment="Rahoituslaskelman rahan lähteet -taulukko. Rahan lähteet alkurahoitukseen." ref="A36:C49" totalsRowCount="1" headerRowDxfId="795" dataDxfId="793" totalsRowDxfId="791" headerRowBorderDxfId="794" tableBorderDxfId="792" totalsRowBorderDxfId="790">
  <autoFilter ref="A36:C48" xr:uid="{53D00F8E-4FE8-5343-9E50-05611CDD7B09}">
    <filterColumn colId="0" hiddenButton="1"/>
    <filterColumn colId="1" hiddenButton="1"/>
    <filterColumn colId="2" hiddenButton="1"/>
  </autoFilter>
  <tableColumns count="3">
    <tableColumn id="1" xr3:uid="{7E882E9A-B1F9-0D43-95B9-E0702F872DE5}" name="Rahan lähteet (miten järjestät alkurahoituksen?)" totalsRowLabel="Rahan lähteet yhteensä" dataDxfId="789" totalsRowDxfId="788"/>
    <tableColumn id="2" xr3:uid="{148B4ED3-F452-784D-9677-F351FBCBC27E}" name="€" totalsRowFunction="sum" dataDxfId="787" totalsRowDxfId="786"/>
    <tableColumn id="3" xr3:uid="{8B7B5EFE-05F9-2947-95F1-C3DBF4E1A476}" name="Kommentti" dataDxfId="785" totalsRowDxfId="784"/>
  </tableColumns>
  <tableStyleInfo name="Helsinki_taulukko_tyyli" showFirstColumn="1" showLastColumn="0" showRowStripes="0" showColumnStripes="0"/>
  <extLst>
    <ext xmlns:x14="http://schemas.microsoft.com/office/spreadsheetml/2009/9/main" uri="{504A1905-F514-4f6f-8877-14C23A59335A}">
      <x14:table altTextSummary="Rahan lähteet -taulukko"/>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922F40D-8C92-8749-908C-49EACF919822}" name="Rahoitus_taulukko_1" displayName="Rahoitus_taulukko_1" comment="Ensimmäisen vuoden jaksoittaiset rahoitukset. Lainojen lyhennykset ja omistajien yksityisostot vähennetään kokonaisuudesta." ref="A33:O40" totalsRowCount="1" headerRowDxfId="512" dataDxfId="510" totalsRowDxfId="508" headerRowBorderDxfId="511" tableBorderDxfId="509" totalsRowBorderDxfId="507">
  <autoFilter ref="A33:O39"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FCC523B1-AF2A-C045-80AB-E256FC98FA22}" name="Rahoitus" totalsRowLabel="Rahoitus yhteensä" dataDxfId="506" totalsRowDxfId="505"/>
    <tableColumn id="2" xr3:uid="{66B96561-A5D0-964C-BF35-2B42BDBA69A7}" name="Arvio" totalsRowFunction="custom" dataDxfId="504" totalsRowDxfId="503">
      <totalsRowFormula>SUM(-B34,B35:B36,-B37,B38:B39)</totalsRowFormula>
    </tableColumn>
    <tableColumn id="3" xr3:uid="{2818987C-6573-A04D-950E-277724F8F9F8}" name="Jakso 1" totalsRowFunction="custom" dataDxfId="502" totalsRowDxfId="501">
      <totalsRowFormula>SUM(-C34,C35:C36,-C37,C38:C39)</totalsRowFormula>
    </tableColumn>
    <tableColumn id="4" xr3:uid="{76CF96B1-D50C-E242-804B-1620F4C0344A}" name="Jakso 2" totalsRowFunction="custom" dataDxfId="500" totalsRowDxfId="499">
      <totalsRowFormula>SUM(-D34,D35:D36,-D37,D38:D39)</totalsRowFormula>
    </tableColumn>
    <tableColumn id="5" xr3:uid="{878831BD-1F90-8C45-A854-5A08E712C68E}" name="Jakso 3" totalsRowFunction="custom" dataDxfId="498" totalsRowDxfId="497">
      <totalsRowFormula>SUM(-E34,E35:E36,-E37,E38:E39)</totalsRowFormula>
    </tableColumn>
    <tableColumn id="6" xr3:uid="{64D76D1D-1094-2843-9289-BAB199C0A6B3}" name="Jakso 4" totalsRowFunction="custom" dataDxfId="496" totalsRowDxfId="495">
      <totalsRowFormula>SUM(-F34,F35:F36,-F37,F38:F39)</totalsRowFormula>
    </tableColumn>
    <tableColumn id="7" xr3:uid="{89D6CEB3-4441-FC47-9AE6-FC204FBB9CC2}" name="Jakso 5" totalsRowFunction="custom" dataDxfId="494" totalsRowDxfId="493">
      <totalsRowFormula>SUM(-G34,G35:G36,-G37,G38:G39)</totalsRowFormula>
    </tableColumn>
    <tableColumn id="8" xr3:uid="{398A2667-2674-7847-B8AE-DDD76C4A7EA5}" name="Jakso 6" totalsRowFunction="custom" dataDxfId="492" totalsRowDxfId="491">
      <totalsRowFormula>SUM(-H34,H35:H36,-H37,H38:H39)</totalsRowFormula>
    </tableColumn>
    <tableColumn id="9" xr3:uid="{65A40B66-B2B9-F643-BA51-784E65A9E1F3}" name="Jakso 7" totalsRowFunction="custom" dataDxfId="490" totalsRowDxfId="489">
      <totalsRowFormula>SUM(-I34,I35:I36,-I37,I38:I39)</totalsRowFormula>
    </tableColumn>
    <tableColumn id="10" xr3:uid="{F0E50584-0AC5-E94F-B03A-0699A73EF4A2}" name="Jakso 8" totalsRowFunction="custom" dataDxfId="488" totalsRowDxfId="487">
      <totalsRowFormula>SUM(-J34,J35:J36,-J37,J38:J39)</totalsRowFormula>
    </tableColumn>
    <tableColumn id="11" xr3:uid="{A60E92D4-4E1E-9F4D-8659-9ED0E99B108B}" name="Jakso 9" totalsRowFunction="custom" dataDxfId="486" totalsRowDxfId="485">
      <totalsRowFormula>SUM(-K34,K35:K36,-K37,K38:K39)</totalsRowFormula>
    </tableColumn>
    <tableColumn id="12" xr3:uid="{87F3551F-DB54-BF4C-B8A3-AA29CEA18BF8}" name="Jakso 10" totalsRowFunction="custom" dataDxfId="484" totalsRowDxfId="483">
      <totalsRowFormula>SUM(-L34,L35:L36,-L37,L38:L39)</totalsRowFormula>
    </tableColumn>
    <tableColumn id="13" xr3:uid="{BEB17145-FA92-A04F-871D-68B27B1B2A10}" name="Jakso 11" totalsRowFunction="custom" dataDxfId="482" totalsRowDxfId="481">
      <totalsRowFormula>SUM(-M34,M35:M36,-M37,M38:M39)</totalsRowFormula>
    </tableColumn>
    <tableColumn id="14" xr3:uid="{CAC666F2-7C2F-4A44-8E05-F0C3DEA2A2F2}" name="Jakso 12" totalsRowFunction="custom" dataDxfId="480" totalsRowDxfId="479">
      <totalsRowFormula>SUM(-N34,N35:N36,-N37,N38:N39)</totalsRowFormula>
    </tableColumn>
    <tableColumn id="15" xr3:uid="{5C7D0F0A-23B9-3E4F-AFE1-A0452424FC57}" name="Yhteensä" totalsRowFunction="custom" dataDxfId="478" totalsRowDxfId="477">
      <calculatedColumnFormula>SUM(Rahoitus_taulukko_1[[#This Row],[Arvio]:[Jakso 12]])</calculatedColumnFormula>
      <totalsRowFormula>SUM(Rahoitus_taulukko_1[[#Totals],[Arvio]:[Jakso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E437FF9-D5FB-684A-AAC0-0E054B3277B7}" name="Ohjeet_kassavirtalaskelmaan_1" displayName="Ohjeet_kassavirtalaskelmaan_1" comment="Ohjeet ensimmäisen vuoden kassavirtalaskelmaan." ref="A44:A45" totalsRowShown="0" headerRowDxfId="476" dataDxfId="474" headerRowBorderDxfId="475" tableBorderDxfId="473" totalsRowBorderDxfId="472">
  <autoFilter ref="A44:A45" xr:uid="{FE437FF9-D5FB-684A-AAC0-0E054B3277B7}">
    <filterColumn colId="0" hiddenButton="1"/>
  </autoFilter>
  <tableColumns count="1">
    <tableColumn id="1" xr3:uid="{E74F2B20-1C8F-D146-A876-FD0500E1F2F7}" name="Ohjeet kassavirtalaskelmaan:" dataDxfId="471"/>
  </tableColumns>
  <tableStyleInfo name="Helsinki_taulukko_tyyli" showFirstColumn="0" showLastColumn="0" showRowStripes="0"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47778E7-A926-1E41-AD64-F4192822B7A0}" name="Kassastamaksu_alv_taulukko_1" displayName="Kassastamaksu_alv_taulukko_1" comment="Ensimmäisen vuoden jaksoittainen kassastamaksu taulukko ostoille joihin lisätään arvonlisävero." ref="A18:O21" headerRowDxfId="470" dataDxfId="468" totalsRowDxfId="466" headerRowBorderDxfId="469" tableBorderDxfId="467" totalsRowBorderDxfId="465">
  <autoFilter ref="A18:O21"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9A8CC0D1-2D22-FC42-B484-775C2EA37CBC}" name="Kassastamaksu (sisältää alv)" totalsRowLabel="Total" dataDxfId="464" totalsRowDxfId="463"/>
    <tableColumn id="2" xr3:uid="{D5C62868-FD46-B447-9A40-0E6EB2AEC02C}" name="Arvio" dataDxfId="462" totalsRowDxfId="461">
      <calculatedColumnFormula>SUM(Alkukassa_taulukko_1[Arvio],Kassaanmaksu_taulukko_1[[#Totals],[Arvio]])</calculatedColumnFormula>
    </tableColumn>
    <tableColumn id="3" xr3:uid="{F833C43F-3BCA-0C47-8B3C-66D4CFEB6852}" name="Jakso 1" dataDxfId="460" totalsRowDxfId="459">
      <calculatedColumnFormula>SUM(Alkukassa_taulukko_1[Jakso 1],Kassaanmaksu_taulukko_1[[#Totals],[Jakso 1]])</calculatedColumnFormula>
    </tableColumn>
    <tableColumn id="4" xr3:uid="{FF88752E-4300-8047-AAA3-C047D5DAC3C4}" name="Jakso 2" dataDxfId="458" totalsRowDxfId="457">
      <calculatedColumnFormula>SUM(Alkukassa_taulukko_1[Jakso 2],Kassaanmaksu_taulukko_1[[#Totals],[Jakso 2]])</calculatedColumnFormula>
    </tableColumn>
    <tableColumn id="5" xr3:uid="{002BD6C8-D907-6540-85E9-446FA9121892}" name="Jakso 3" dataDxfId="456" totalsRowDxfId="455">
      <calculatedColumnFormula>SUM(Alkukassa_taulukko_1[Jakso 3],Kassaanmaksu_taulukko_1[[#Totals],[Jakso 3]])</calculatedColumnFormula>
    </tableColumn>
    <tableColumn id="6" xr3:uid="{4309D0BC-C0CA-5E48-AE04-C339C357A133}" name="Jakso 4" dataDxfId="454" totalsRowDxfId="453">
      <calculatedColumnFormula>SUM(Alkukassa_taulukko_1[Jakso 4],Kassaanmaksu_taulukko_1[[#Totals],[Jakso 4]])</calculatedColumnFormula>
    </tableColumn>
    <tableColumn id="7" xr3:uid="{BE9C6D79-1DD8-BB4E-A544-05FA0B765286}" name="Jakso 5" dataDxfId="452" totalsRowDxfId="451">
      <calculatedColumnFormula>SUM(Alkukassa_taulukko_1[Jakso 5],Kassaanmaksu_taulukko_1[[#Totals],[Jakso 5]])</calculatedColumnFormula>
    </tableColumn>
    <tableColumn id="8" xr3:uid="{E15A4C4D-3F97-0243-825A-B2584CDBDA0D}" name="Jakso 6" dataDxfId="450" totalsRowDxfId="449">
      <calculatedColumnFormula>SUM(Alkukassa_taulukko_1[Jakso 6],Kassaanmaksu_taulukko_1[[#Totals],[Jakso 6]])</calculatedColumnFormula>
    </tableColumn>
    <tableColumn id="9" xr3:uid="{A9E54B78-619B-F64C-B98C-D2E290F6C767}" name="Jakso 7" dataDxfId="448" totalsRowDxfId="447">
      <calculatedColumnFormula>SUM(Alkukassa_taulukko_1[Jakso 7],Kassaanmaksu_taulukko_1[[#Totals],[Jakso 7]])</calculatedColumnFormula>
    </tableColumn>
    <tableColumn id="10" xr3:uid="{43E100C5-2A63-AD40-90C0-8B6F2F49E45A}" name="Jakso 8" dataDxfId="446" totalsRowDxfId="445">
      <calculatedColumnFormula>SUM(Alkukassa_taulukko_1[Jakso 8],Kassaanmaksu_taulukko_1[[#Totals],[Jakso 8]])</calculatedColumnFormula>
    </tableColumn>
    <tableColumn id="11" xr3:uid="{3F4B51C0-0A63-4F43-A1A9-E588325FE9F0}" name="Jakso 9" dataDxfId="444" totalsRowDxfId="443">
      <calculatedColumnFormula>SUM(Alkukassa_taulukko_1[Jakso 9],Kassaanmaksu_taulukko_1[[#Totals],[Jakso 9]])</calculatedColumnFormula>
    </tableColumn>
    <tableColumn id="12" xr3:uid="{6D6C54C7-9FA7-1B45-9F12-F375057CA166}" name="Jakso 10" dataDxfId="442" totalsRowDxfId="441">
      <calculatedColumnFormula>SUM(Alkukassa_taulukko_1[Jakso 10],Kassaanmaksu_taulukko_1[[#Totals],[Jakso 10]])</calculatedColumnFormula>
    </tableColumn>
    <tableColumn id="13" xr3:uid="{14276E9C-F6B9-AF4B-ADD2-C5BEAB782EF9}" name="Jakso 11" dataDxfId="440" totalsRowDxfId="439">
      <calculatedColumnFormula>SUM(Alkukassa_taulukko_1[Jakso 11],Kassaanmaksu_taulukko_1[[#Totals],[Jakso 11]])</calculatedColumnFormula>
    </tableColumn>
    <tableColumn id="14" xr3:uid="{DD70956B-7297-F143-94D3-39CB3B759AE6}" name="Jakso 12" dataDxfId="438" totalsRowDxfId="437">
      <calculatedColumnFormula>SUM(Alkukassa_taulukko_1[Jakso 12],Kassaanmaksu_taulukko_1[[#Totals],[Jakso 12]])</calculatedColumnFormula>
    </tableColumn>
    <tableColumn id="15" xr3:uid="{DDC97F0A-E59E-AF43-9522-72F5D0FEF750}" name="Yhteensä" totalsRowFunction="sum" dataDxfId="436" totalsRowDxfId="435">
      <calculatedColumnFormula>SUM(Alkukassa_taulukko_1[Yhteensä],Kassaanmaksu_taulukko_1[[#Totals],[Yhteensä]])</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4DE81890-19C2-FA49-8E8F-931C48423BA0}" name="Kassaanmaksu_taulukko_2" displayName="Kassaanmaksu_taulukko_2" comment="Toisen vuoden jaksoittainen kassaanmaksu taulukko." ref="A10:N15" headerRowDxfId="434" dataDxfId="432" totalsRowDxfId="430" headerRowBorderDxfId="433" tableBorderDxfId="431" totalsRowBorderDxfId="429">
  <autoFilter ref="A10:N15"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B2FB31B5-01D6-A14A-A006-02D948D1461A}" name="Kassaanmaksu, eli tulot" totalsRowLabel="Yhteensä" dataDxfId="428" totalsRowDxfId="427"/>
    <tableColumn id="3" xr3:uid="{54FE5027-D959-C04A-B433-F21E68581576}" name="Jakso 1" totalsRowFunction="sum" dataDxfId="426" totalsRowDxfId="425"/>
    <tableColumn id="4" xr3:uid="{8B2A603F-EBB4-C24F-9118-1CC0EC97F8A1}" name="Jakso 2" totalsRowFunction="sum" dataDxfId="424" totalsRowDxfId="423"/>
    <tableColumn id="5" xr3:uid="{CFD3C3DC-87A1-034B-BD00-3AF22123B101}" name="Jakso 3" totalsRowFunction="sum" dataDxfId="422" totalsRowDxfId="421"/>
    <tableColumn id="6" xr3:uid="{BAC9B149-F847-BB44-ACAE-381884DE4887}" name="Jakso 4" totalsRowFunction="sum" dataDxfId="420" totalsRowDxfId="419"/>
    <tableColumn id="7" xr3:uid="{002B1B25-8363-4A4E-930F-C8960C5E574F}" name="Jakso 5" totalsRowFunction="sum" dataDxfId="418" totalsRowDxfId="417"/>
    <tableColumn id="8" xr3:uid="{DE2B8EFD-75C8-3949-9EE0-CC9A1F075042}" name="Jakso 6" totalsRowFunction="sum" dataDxfId="416" totalsRowDxfId="415"/>
    <tableColumn id="9" xr3:uid="{E84300C2-72DB-954D-9654-2F8C0F41CDB0}" name="Jakso 7" totalsRowFunction="sum" dataDxfId="414" totalsRowDxfId="413"/>
    <tableColumn id="10" xr3:uid="{CFDBB0E7-4728-BE49-A565-1E772A4C7E31}" name="Jakso 8" totalsRowFunction="sum" dataDxfId="412" totalsRowDxfId="411"/>
    <tableColumn id="11" xr3:uid="{F4D2F198-8789-7443-8560-22BA50C03D8B}" name="Jakso 9" totalsRowFunction="sum" dataDxfId="410" totalsRowDxfId="409"/>
    <tableColumn id="12" xr3:uid="{C0606655-2C9F-6046-A42B-4FAB790E6ECF}" name="Jakso 10" totalsRowFunction="sum" dataDxfId="408" totalsRowDxfId="407"/>
    <tableColumn id="13" xr3:uid="{DBF4B5F9-E095-C142-8D7A-CFEF28E5DFBE}" name="Jakso 11" totalsRowFunction="sum" dataDxfId="406" totalsRowDxfId="405"/>
    <tableColumn id="14" xr3:uid="{34D1A991-646D-4543-850D-730F02C35846}" name="Jakso 12" totalsRowFunction="sum" dataDxfId="404" totalsRowDxfId="403"/>
    <tableColumn id="15" xr3:uid="{8861E1EC-CD20-0444-9644-1A2542D2E6FD}" name="Yhteensä" totalsRowFunction="sum" dataDxfId="402" totalsRowDxfId="401">
      <calculatedColumnFormula>SUM(Kassaanmaksu_taulukko_2[[#This Row],[Jakso 1]:[Jakso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5C3544E7-7892-C749-8B8A-09ED0634E467}" name="Kassastamaksu_taulukko_2" displayName="Kassastamaksu_taulukko_2" comment="Toisen vuoden jaksoittainen kassastamaksu (alv 0%) taulukko." ref="A22:N32" totalsRowCount="1" headerRowDxfId="400" dataDxfId="398" totalsRowDxfId="396" headerRowBorderDxfId="399" tableBorderDxfId="397" totalsRowBorderDxfId="395">
  <autoFilter ref="A22:N31"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50C9E6A2-DD68-DC42-9C51-8B01DCABAE98}" name="Kassastamaksu (alv 0%)" totalsRowLabel="Kassastamaksu yhteensä" dataDxfId="394" totalsRowDxfId="393"/>
    <tableColumn id="3" xr3:uid="{9EBA3A1F-4540-734E-8AA0-83564FAFEC0F}" name="Jakso 1" totalsRowFunction="custom" dataDxfId="392" totalsRowDxfId="391">
      <totalsRowFormula>SUM(Kassastamaksu_taulukko_2[Jakso 1],B19,B21)</totalsRowFormula>
    </tableColumn>
    <tableColumn id="4" xr3:uid="{FDA02E50-3C80-B94D-901F-625A56CD8531}" name="Jakso 2" totalsRowFunction="custom" dataDxfId="390" totalsRowDxfId="389">
      <totalsRowFormula>SUM(Kassastamaksu_taulukko_2[Jakso 2],C19,C21)</totalsRowFormula>
    </tableColumn>
    <tableColumn id="5" xr3:uid="{38C01A60-C901-0040-A602-8E6063FD02DB}" name="Jakso 3" totalsRowFunction="custom" dataDxfId="388" totalsRowDxfId="387">
      <totalsRowFormula>SUM(Kassastamaksu_taulukko_2[Jakso 3],D19,D21)</totalsRowFormula>
    </tableColumn>
    <tableColumn id="6" xr3:uid="{4D10E16B-9DC3-8544-BCBE-13883DE60C94}" name="Jakso 4" totalsRowFunction="custom" dataDxfId="386" totalsRowDxfId="385">
      <totalsRowFormula>SUM(Kassastamaksu_taulukko_2[Jakso 4],E19,E21)</totalsRowFormula>
    </tableColumn>
    <tableColumn id="7" xr3:uid="{3D87EA85-A350-9748-9F49-CDA6D1BE9939}" name="Jakso 5" totalsRowFunction="custom" dataDxfId="384" totalsRowDxfId="383">
      <totalsRowFormula>SUM(Kassastamaksu_taulukko_2[Jakso 5],F19,F21)</totalsRowFormula>
    </tableColumn>
    <tableColumn id="8" xr3:uid="{A693B5F4-D290-AC4E-A93A-4DFA62ACE5B9}" name="Jakso 6" totalsRowFunction="custom" dataDxfId="382" totalsRowDxfId="381">
      <totalsRowFormula>SUM(Kassastamaksu_taulukko_2[Jakso 6],G19,G21)</totalsRowFormula>
    </tableColumn>
    <tableColumn id="9" xr3:uid="{792ACC92-B80D-6443-B08F-938C3DA89405}" name="Jakso 7" totalsRowFunction="custom" dataDxfId="380" totalsRowDxfId="379">
      <totalsRowFormula>SUM(Kassastamaksu_taulukko_2[Jakso 7],H19,H21)</totalsRowFormula>
    </tableColumn>
    <tableColumn id="10" xr3:uid="{96109234-A843-F54D-AC47-3A80AA9D738B}" name="Jakso 8" totalsRowFunction="custom" dataDxfId="378" totalsRowDxfId="377">
      <totalsRowFormula>SUM(Kassastamaksu_taulukko_2[Jakso 8],I19,I21)</totalsRowFormula>
    </tableColumn>
    <tableColumn id="11" xr3:uid="{B8F201BC-882D-E742-9AA7-8C68C6D88B3B}" name="Jakso 9" totalsRowFunction="custom" dataDxfId="376" totalsRowDxfId="375">
      <totalsRowFormula>SUM(Kassastamaksu_taulukko_2[Jakso 9],J19,J21)</totalsRowFormula>
    </tableColumn>
    <tableColumn id="12" xr3:uid="{7A53A46A-5BC8-2A47-8573-AB9BE25215BF}" name="Jakso 10" totalsRowFunction="custom" dataDxfId="374" totalsRowDxfId="373">
      <totalsRowFormula>SUM(Kassastamaksu_taulukko_2[Jakso 10],K19,K21)</totalsRowFormula>
    </tableColumn>
    <tableColumn id="13" xr3:uid="{05C97F71-4B7A-DB43-B081-A8441D37F8EA}" name="Jakso 11" totalsRowFunction="custom" dataDxfId="372" totalsRowDxfId="371">
      <totalsRowFormula>SUM(Kassastamaksu_taulukko_2[Jakso 11],L19,L21)</totalsRowFormula>
    </tableColumn>
    <tableColumn id="14" xr3:uid="{B86FA89A-DC3F-D64F-8216-78C1DCBBB943}" name="Jakso 12" totalsRowFunction="custom" dataDxfId="370" totalsRowDxfId="369">
      <totalsRowFormula>SUM(Kassastamaksu_taulukko_2[Jakso 12],M19,M21)</totalsRowFormula>
    </tableColumn>
    <tableColumn id="15" xr3:uid="{D9319BC3-F3AC-5842-9664-68E39C1DD6DB}" name="Yhteensä" totalsRowFunction="custom" dataDxfId="368" totalsRowDxfId="367">
      <calculatedColumnFormula>SUM(Kassastamaksu_taulukko_2[[#This Row],[Jakso 1]:[Jakso 12]])</calculatedColumnFormula>
      <totalsRowFormula>SUM(Kassastamaksu_taulukko_2[[#Totals],[Jakso 1]:[Jakso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4CA1C5D-60F3-0346-8340-01DEB743E8E7}" name="Alkukassa_taulukko_2" displayName="Alkukassa_taulukko_2" comment="Toisen vuoden jaksoittaiset rahavarat kauden alussa." ref="A8:N9" headerRowDxfId="366" dataDxfId="364" totalsRowDxfId="362" headerRowBorderDxfId="365" tableBorderDxfId="363" totalsRowBorderDxfId="361">
  <autoFilter ref="A8:N9"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2B879D7D-B1DF-0E4A-9176-88B7029B7775}" name="Alkukassa, eli rahavarat kauden alussa" totalsRowLabel="Total" dataDxfId="360"/>
    <tableColumn id="3" xr3:uid="{B3339FBB-A7FF-094D-A2BA-5E8C94903117}" name="Jakso 1" dataDxfId="359">
      <calculatedColumnFormula>Kassavirtalaskelma1v!N42</calculatedColumnFormula>
    </tableColumn>
    <tableColumn id="4" xr3:uid="{44A0AC23-0295-BC4A-8A74-2B7436909F5E}" name="Jakso 2" dataDxfId="358">
      <calculatedColumnFormula>B42</calculatedColumnFormula>
    </tableColumn>
    <tableColumn id="5" xr3:uid="{1CA224BA-A73F-204E-A3F7-7BED8430DEFC}" name="Jakso 3" dataDxfId="357">
      <calculatedColumnFormula>C42</calculatedColumnFormula>
    </tableColumn>
    <tableColumn id="6" xr3:uid="{DD286584-5E64-B14F-9B63-50FD0049BA3E}" name="Jakso 4" dataDxfId="356">
      <calculatedColumnFormula>D42</calculatedColumnFormula>
    </tableColumn>
    <tableColumn id="7" xr3:uid="{A6B23427-EDE2-7242-975A-5380D024A736}" name="Jakso 5" dataDxfId="355">
      <calculatedColumnFormula>E42</calculatedColumnFormula>
    </tableColumn>
    <tableColumn id="8" xr3:uid="{FEDE8220-B166-A840-ABF0-8642BEEFEB2C}" name="Jakso 6" dataDxfId="354">
      <calculatedColumnFormula>F42</calculatedColumnFormula>
    </tableColumn>
    <tableColumn id="9" xr3:uid="{0AD54708-A661-2D43-96AF-0AE4445FFD65}" name="Jakso 7" dataDxfId="353">
      <calculatedColumnFormula>G42</calculatedColumnFormula>
    </tableColumn>
    <tableColumn id="10" xr3:uid="{A090ED3A-E7A9-EA4D-B286-A3AD7C0C9CE1}" name="Jakso 8" dataDxfId="352">
      <calculatedColumnFormula>H42</calculatedColumnFormula>
    </tableColumn>
    <tableColumn id="11" xr3:uid="{6EEFCDF4-D780-3742-BFC0-57F8F6F5369F}" name="Jakso 9" dataDxfId="351">
      <calculatedColumnFormula>I42</calculatedColumnFormula>
    </tableColumn>
    <tableColumn id="12" xr3:uid="{0FF905D4-1CB8-774F-A4DE-5B6A921E1CD2}" name="Jakso 10" dataDxfId="350">
      <calculatedColumnFormula>J42</calculatedColumnFormula>
    </tableColumn>
    <tableColumn id="13" xr3:uid="{997C2672-2D88-964A-93E8-C0B530CEBEDE}" name="Jakso 11" dataDxfId="349">
      <calculatedColumnFormula>K42</calculatedColumnFormula>
    </tableColumn>
    <tableColumn id="14" xr3:uid="{E220ABCA-F4F8-C543-A1D9-4DBE785EFBA1}" name="Jakso 12" dataDxfId="348">
      <calculatedColumnFormula>L42</calculatedColumnFormula>
    </tableColumn>
    <tableColumn id="15" xr3:uid="{7A65C4EF-8822-1E4B-8584-C20CD38EB749}" name="Yhteensä" totalsRowFunction="sum" dataDxfId="347"/>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2C8C81D4-5D6C-0743-9F1B-D79B140F6758}" name="Alkukassa_ja_tulot_taulukko_2" displayName="Alkukassa_ja_tulot_taulukko_2" comment="Toisen vuoden jaksoittaiset alkukassan ja tulojen summat." ref="A16:N17" headerRowDxfId="346" dataDxfId="344" totalsRowDxfId="342" headerRowBorderDxfId="345" tableBorderDxfId="343" totalsRowBorderDxfId="341">
  <autoFilter ref="A16:N17"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6707F626-2E6C-3C41-AD4B-694ED492D722}" name="Alkukassa ja tulot" totalsRowLabel="Total" dataDxfId="340" totalsRowDxfId="339"/>
    <tableColumn id="3" xr3:uid="{B6AB6068-3F16-4C49-B5DB-6E0BFAEEB08F}" name="Jakso 1" dataDxfId="338" totalsRowDxfId="337">
      <calculatedColumnFormula>SUM(Alkukassa_taulukko_2[Jakso 1],B15)</calculatedColumnFormula>
    </tableColumn>
    <tableColumn id="4" xr3:uid="{A15FAF32-7EB0-6543-8F51-B8859010F4BC}" name="Jakso 2" dataDxfId="336" totalsRowDxfId="335">
      <calculatedColumnFormula>SUM(Alkukassa_taulukko_2[Jakso 2],C15)</calculatedColumnFormula>
    </tableColumn>
    <tableColumn id="5" xr3:uid="{00444C7A-18EF-7A49-A8A5-EDDBC95A7E69}" name="Jakso 3" dataDxfId="334" totalsRowDxfId="333">
      <calculatedColumnFormula>SUM(Alkukassa_taulukko_2[Jakso 3],D15)</calculatedColumnFormula>
    </tableColumn>
    <tableColumn id="6" xr3:uid="{F28D2454-7292-F046-AA18-B1034CC6D318}" name="Jakso 4" dataDxfId="332" totalsRowDxfId="331">
      <calculatedColumnFormula>SUM(Alkukassa_taulukko_2[Jakso 4],E15)</calculatedColumnFormula>
    </tableColumn>
    <tableColumn id="7" xr3:uid="{D0270102-1A4F-4843-950E-F044B2572EB9}" name="Jakso 5" dataDxfId="330" totalsRowDxfId="329">
      <calculatedColumnFormula>SUM(Alkukassa_taulukko_2[Jakso 5],F15)</calculatedColumnFormula>
    </tableColumn>
    <tableColumn id="8" xr3:uid="{48CCD256-BACC-6445-A740-1F6712C6605C}" name="Jakso 6" dataDxfId="328" totalsRowDxfId="327">
      <calculatedColumnFormula>SUM(Alkukassa_taulukko_2[Jakso 6],G15)</calculatedColumnFormula>
    </tableColumn>
    <tableColumn id="9" xr3:uid="{60F19E4D-7FB6-EB4D-85E3-346D846FF87B}" name="Jakso 7" dataDxfId="326" totalsRowDxfId="325">
      <calculatedColumnFormula>SUM(Alkukassa_taulukko_2[Jakso 7],H15)</calculatedColumnFormula>
    </tableColumn>
    <tableColumn id="10" xr3:uid="{0EF0275A-8A08-B148-998A-58FDA2F5D397}" name="Jakso 8" dataDxfId="324" totalsRowDxfId="323">
      <calculatedColumnFormula>SUM(Alkukassa_taulukko_2[Jakso 8],I15)</calculatedColumnFormula>
    </tableColumn>
    <tableColumn id="11" xr3:uid="{BA9C6593-14D0-B042-A952-6B4C12F54BE8}" name="Jakso 9" dataDxfId="322" totalsRowDxfId="321">
      <calculatedColumnFormula>SUM(Alkukassa_taulukko_2[Jakso 9],J15)</calculatedColumnFormula>
    </tableColumn>
    <tableColumn id="12" xr3:uid="{777B5E50-5D3C-174A-8380-BAD507CF34A2}" name="Jakso 10" dataDxfId="320" totalsRowDxfId="319">
      <calculatedColumnFormula>SUM(Alkukassa_taulukko_2[Jakso 10],K15)</calculatedColumnFormula>
    </tableColumn>
    <tableColumn id="13" xr3:uid="{20424807-241A-E647-9F96-EB2EF1C7640B}" name="Jakso 11" dataDxfId="318" totalsRowDxfId="317">
      <calculatedColumnFormula>SUM(Alkukassa_taulukko_2[Jakso 11],L15)</calculatedColumnFormula>
    </tableColumn>
    <tableColumn id="14" xr3:uid="{F8E711B2-F2DC-8046-AF34-FAEDF8DFC9D2}" name="Jakso 12" dataDxfId="316" totalsRowDxfId="315">
      <calculatedColumnFormula>SUM(Alkukassa_taulukko_2[Jakso 12],M15)</calculatedColumnFormula>
    </tableColumn>
    <tableColumn id="15" xr3:uid="{20AC50C8-3DDC-2A4A-9514-33DD80F88D8A}" name="Yhteensä" totalsRowFunction="sum" dataDxfId="314" totalsRowDxfId="313"/>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D34E4FA-F0D6-EE4C-BA95-5735985C8607}" name="Maksuvalmius_taulukko_2" displayName="Maksuvalmius_taulukko_2" comment="Toisen vuoden jaksoittaiset alkukassan, tulojen ja kassastamaksun summat." ref="A41:N43" totalsRowShown="0" headerRowDxfId="312" dataDxfId="310" headerRowBorderDxfId="311" tableBorderDxfId="309" totalsRowBorderDxfId="308">
  <autoFilter ref="A41:N43"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92DEFA56-9820-9A49-BC6C-F7FC5B1AB7A0}" name="Maksuvalmius (kuun lopussa)" dataDxfId="307"/>
    <tableColumn id="3" xr3:uid="{18928AFB-FC8A-F043-B241-3D9B251032AD}" name="Jakso 1" dataDxfId="306">
      <calculatedColumnFormula>SUM(Alkukassa_ja_tulot_taulukko_2[Jakso 1],-Kassastamaksu_taulukko_2[[#Totals],[Jakso 1]],Rahoitus_taulukko_2[[#Totals],[Jakso 1]])</calculatedColumnFormula>
    </tableColumn>
    <tableColumn id="4" xr3:uid="{8DE692B6-8845-B84C-B2E9-768BFF55C772}" name="Jakso 2" dataDxfId="305">
      <calculatedColumnFormula>SUM(Alkukassa_ja_tulot_taulukko_2[Jakso 2],-Kassastamaksu_taulukko_2[[#Totals],[Jakso 2]],Rahoitus_taulukko_2[[#Totals],[Jakso 2]])</calculatedColumnFormula>
    </tableColumn>
    <tableColumn id="5" xr3:uid="{21B83108-5C9F-284B-98C9-026AE8157710}" name="Jakso 3" dataDxfId="304">
      <calculatedColumnFormula>SUM(Alkukassa_ja_tulot_taulukko_2[Jakso 3],-Kassastamaksu_taulukko_2[[#Totals],[Jakso 3]],Rahoitus_taulukko_2[[#Totals],[Jakso 3]])</calculatedColumnFormula>
    </tableColumn>
    <tableColumn id="6" xr3:uid="{1EC5710E-3006-E541-BF8A-C12A93FFE87D}" name="Jakso 4" dataDxfId="303">
      <calculatedColumnFormula>SUM(Alkukassa_ja_tulot_taulukko_2[Jakso 4],-Kassastamaksu_taulukko_2[[#Totals],[Jakso 4]],Rahoitus_taulukko_2[[#Totals],[Jakso 4]])</calculatedColumnFormula>
    </tableColumn>
    <tableColumn id="7" xr3:uid="{69382C2C-0181-F245-BE0A-5D89A7CED742}" name="Jakso 5" dataDxfId="302">
      <calculatedColumnFormula>SUM(Alkukassa_ja_tulot_taulukko_2[Jakso 5],-Kassastamaksu_taulukko_2[[#Totals],[Jakso 5]],Rahoitus_taulukko_2[[#Totals],[Jakso 5]])</calculatedColumnFormula>
    </tableColumn>
    <tableColumn id="8" xr3:uid="{F0AA41E8-3D96-3148-B62F-B2C9C3E20A31}" name="Jakso 6" dataDxfId="301">
      <calculatedColumnFormula>SUM(Alkukassa_ja_tulot_taulukko_2[Jakso 6],-Kassastamaksu_taulukko_2[[#Totals],[Jakso 6]],Rahoitus_taulukko_2[[#Totals],[Jakso 6]])</calculatedColumnFormula>
    </tableColumn>
    <tableColumn id="9" xr3:uid="{831C890F-97C5-4B42-938D-A8557EFFE467}" name="Jakso 7" dataDxfId="300">
      <calculatedColumnFormula>SUM(Alkukassa_ja_tulot_taulukko_2[Jakso 7],-Kassastamaksu_taulukko_2[[#Totals],[Jakso 7]],Rahoitus_taulukko_2[[#Totals],[Jakso 7]])</calculatedColumnFormula>
    </tableColumn>
    <tableColumn id="10" xr3:uid="{C37C76DC-FF4E-FD48-ABDA-4724D77C21CF}" name="Jakso 8" dataDxfId="299">
      <calculatedColumnFormula>SUM(Alkukassa_ja_tulot_taulukko_2[Jakso 8],-Kassastamaksu_taulukko_2[[#Totals],[Jakso 8]],Rahoitus_taulukko_2[[#Totals],[Jakso 8]])</calculatedColumnFormula>
    </tableColumn>
    <tableColumn id="11" xr3:uid="{589A8677-6333-D144-9597-C670CCA7BB57}" name="Jakso 9" dataDxfId="298">
      <calculatedColumnFormula>SUM(Alkukassa_ja_tulot_taulukko_2[Jakso 9],-Kassastamaksu_taulukko_2[[#Totals],[Jakso 9]],Rahoitus_taulukko_2[[#Totals],[Jakso 9]])</calculatedColumnFormula>
    </tableColumn>
    <tableColumn id="12" xr3:uid="{2A5FE41A-D430-B24F-A148-C1CCE8AFF969}" name="Jakso 10" dataDxfId="297">
      <calculatedColumnFormula>SUM(Alkukassa_ja_tulot_taulukko_2[Jakso 10],-Kassastamaksu_taulukko_2[[#Totals],[Jakso 10]],Rahoitus_taulukko_2[[#Totals],[Jakso 10]])</calculatedColumnFormula>
    </tableColumn>
    <tableColumn id="13" xr3:uid="{75156DAA-EBEF-E24C-9585-42B485EB7A14}" name="Jakso 11" dataDxfId="296">
      <calculatedColumnFormula>SUM(Alkukassa_ja_tulot_taulukko_2[Jakso 11],-Kassastamaksu_taulukko_2[[#Totals],[Jakso 11]],Rahoitus_taulukko_2[[#Totals],[Jakso 11]])</calculatedColumnFormula>
    </tableColumn>
    <tableColumn id="14" xr3:uid="{70EBE01E-8733-D34D-9370-571A249EC27B}" name="Jakso 12" dataDxfId="295">
      <calculatedColumnFormula>SUM(Alkukassa_ja_tulot_taulukko_2[Jakso 12],-Kassastamaksu_taulukko_2[[#Totals],[Jakso 12]],Rahoitus_taulukko_2[[#Totals],[Jakso 12]])</calculatedColumnFormula>
    </tableColumn>
    <tableColumn id="15" xr3:uid="{5F525243-09C1-DD40-9984-DE5A175EAAEB}" name="Yhteensä" dataDxfId="294">
      <calculatedColumnFormula>SUM(Maksuvalmius_taulukko_2[[#This Row],[Jakso 1]:[Jakso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EBFD3C76-97AD-7840-ABA2-E4FDAD99CF94}" name="Rahoitus_taulukko_2" displayName="Rahoitus_taulukko_2" comment="Toisen vuoden jaksoittaiset rahoitukset. Lainojen lyhennykset ja omistajien yksityisostot vähennetään kokonaisuudesta." ref="A33:N40" totalsRowCount="1" headerRowDxfId="293" dataDxfId="291" totalsRowDxfId="289" headerRowBorderDxfId="292" tableBorderDxfId="290" totalsRowBorderDxfId="288">
  <autoFilter ref="A33:N39"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D28A52C2-6CC9-0F4D-A079-984C77EB7621}" name="Rahoitus" totalsRowLabel="Rahoitus yhteensä" dataDxfId="287" totalsRowDxfId="286"/>
    <tableColumn id="3" xr3:uid="{55D0E558-8A87-3A4D-8905-47ACBD581051}" name="Jakso 1" totalsRowFunction="custom" dataDxfId="285" totalsRowDxfId="284">
      <totalsRowFormula>SUM(-B34,B35:B36,-B37,B38:B39)</totalsRowFormula>
    </tableColumn>
    <tableColumn id="4" xr3:uid="{CE0F266B-24B8-9D4A-AD40-0C9EE4269BB0}" name="Jakso 2" totalsRowFunction="custom" dataDxfId="283" totalsRowDxfId="282">
      <totalsRowFormula>SUM(-C34,C35:C36,-C37,C38:C39)</totalsRowFormula>
    </tableColumn>
    <tableColumn id="5" xr3:uid="{D0904FBC-28D8-0A44-A0CE-E3C704B2A3C1}" name="Jakso 3" totalsRowFunction="custom" dataDxfId="281" totalsRowDxfId="280">
      <totalsRowFormula>SUM(-D34,D35:D36,-D37,D38:D39)</totalsRowFormula>
    </tableColumn>
    <tableColumn id="6" xr3:uid="{D2A237E6-6E74-F742-8CD3-902B3DBC93A8}" name="Jakso 4" totalsRowFunction="custom" dataDxfId="279" totalsRowDxfId="278">
      <totalsRowFormula>SUM(-E34,E35:E36,-E37,E38:E39)</totalsRowFormula>
    </tableColumn>
    <tableColumn id="7" xr3:uid="{BF6B7E7F-E6FC-CE4A-946B-BA524C416A22}" name="Jakso 5" totalsRowFunction="custom" dataDxfId="277" totalsRowDxfId="276">
      <totalsRowFormula>SUM(-F34,F35:F36,-F37,F38:F39)</totalsRowFormula>
    </tableColumn>
    <tableColumn id="8" xr3:uid="{9A20DB66-F48B-B64C-A708-5B3F0C619061}" name="Jakso 6" totalsRowFunction="custom" dataDxfId="275" totalsRowDxfId="274">
      <totalsRowFormula>SUM(-G34,G35:G36,-G37,G38:G39)</totalsRowFormula>
    </tableColumn>
    <tableColumn id="9" xr3:uid="{40DF4D30-E62E-D243-82F5-0141104F96EE}" name="Jakso 7" totalsRowFunction="custom" dataDxfId="273" totalsRowDxfId="272">
      <totalsRowFormula>SUM(-H34,H35:H36,-H37,H38:H39)</totalsRowFormula>
    </tableColumn>
    <tableColumn id="10" xr3:uid="{86CA4A65-CBE5-6447-ACD2-A632A276AF34}" name="Jakso 8" totalsRowFunction="custom" dataDxfId="271" totalsRowDxfId="270">
      <totalsRowFormula>SUM(-I34,I35:I36,-I37,I38:I39)</totalsRowFormula>
    </tableColumn>
    <tableColumn id="11" xr3:uid="{A2E15955-6FA2-0B45-9F18-B82EA8392859}" name="Jakso 9" totalsRowFunction="custom" dataDxfId="269" totalsRowDxfId="268">
      <totalsRowFormula>SUM(-J34,J35:J36,-J37,J38:J39)</totalsRowFormula>
    </tableColumn>
    <tableColumn id="12" xr3:uid="{E93C7DD0-EE48-0347-A543-62185CE5F0A2}" name="Jakso 10" totalsRowFunction="custom" dataDxfId="267" totalsRowDxfId="266">
      <totalsRowFormula>SUM(-K34,K35:K36,-K37,K38:K39)</totalsRowFormula>
    </tableColumn>
    <tableColumn id="13" xr3:uid="{9C3214BA-11A8-6847-8DBB-28479EB78480}" name="Jakso 11" totalsRowFunction="custom" dataDxfId="265" totalsRowDxfId="264">
      <totalsRowFormula>SUM(-L34,L35:L36,-L37,L38:L39)</totalsRowFormula>
    </tableColumn>
    <tableColumn id="14" xr3:uid="{E1729BEB-09E0-9F4E-B0EA-2F7B9F99AE35}" name="Jakso 12" totalsRowFunction="custom" dataDxfId="263" totalsRowDxfId="262">
      <totalsRowFormula>SUM(-M34,M35:M36,-M37,M38:M39)</totalsRowFormula>
    </tableColumn>
    <tableColumn id="15" xr3:uid="{9FE6A349-7A0F-0C48-B1A5-6820D072B6F2}" name="Yhteensä" totalsRowFunction="custom" dataDxfId="261" totalsRowDxfId="260">
      <calculatedColumnFormula>SUM(Rahoitus_taulukko_2[[#This Row],[Jakso 1]:[Jakso 12]])</calculatedColumnFormula>
      <totalsRowFormula>SUM(Rahoitus_taulukko_2[[#Totals],[Jakso 1]:[Jakso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3F4787A9-9921-AF49-8D13-BADD5E2CD57C}" name="Ohjeet_kassavirtalaskelmaan_2" displayName="Ohjeet_kassavirtalaskelmaan_2" comment="Ohjeet toisen vuoden kassavirtalaskelmaan." ref="A44:A45" totalsRowShown="0" headerRowDxfId="259" dataDxfId="257" headerRowBorderDxfId="258" tableBorderDxfId="256" totalsRowBorderDxfId="255">
  <autoFilter ref="A44:A45" xr:uid="{FE437FF9-D5FB-684A-AAC0-0E054B3277B7}">
    <filterColumn colId="0" hiddenButton="1"/>
  </autoFilter>
  <tableColumns count="1">
    <tableColumn id="1" xr3:uid="{DA240912-0C0B-0047-8B7C-D5B660F82F2E}" name="Ohjeet kassavirtalaskelmaan:" dataDxfId="254"/>
  </tableColumns>
  <tableStyleInfo name="Helsinki_taulukko_tyyli"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34D4B60-6F36-024C-9309-534468195DD4}" name="Rahan_lähteiden_ja_rahan_tarpeiden_erotus" displayName="Rahan_lähteiden_ja_rahan_tarpeiden_erotus" comment="Rahoituslaskelman rahan tarpeiden ja rahan lähteiden erotus. Rahan tarpeet ja rahan lähteet tulee olla yhtä suuret." ref="A50:C51" totalsRowShown="0" headerRowDxfId="783" dataDxfId="781" headerRowBorderDxfId="782" tableBorderDxfId="780" totalsRowBorderDxfId="779">
  <autoFilter ref="A50:C51" xr:uid="{834D4B60-6F36-024C-9309-534468195DD4}">
    <filterColumn colId="0" hiddenButton="1"/>
    <filterColumn colId="1" hiddenButton="1"/>
    <filterColumn colId="2" hiddenButton="1"/>
  </autoFilter>
  <tableColumns count="3">
    <tableColumn id="1" xr3:uid="{6C1F4597-C08B-F54D-BEA4-E9BEA637A95F}" name="Rahan lähteiden ja rahan tarpeiden erotus" dataDxfId="778"/>
    <tableColumn id="2" xr3:uid="{88E15433-18F2-2047-9342-0B7BB13F9352}" name="€" dataDxfId="777">
      <calculatedColumnFormula>Rahan_lähteet_taulukko[[#Totals],[€]]-Rahan_tarve_taulukko[[#Totals],[€]]</calculatedColumnFormula>
    </tableColumn>
    <tableColumn id="3" xr3:uid="{AEF47A0C-2C54-E14A-B15A-2BB59D297C43}" name="Onko rahan tarve yhtä suuri kuin rahan lähde?" dataDxfId="776">
      <calculatedColumnFormula>IF(Rahan_lähteiden_ja_rahan_tarpeiden_erotus[[#This Row],[€]]=0,"OIKEIN","TARKISTA LASKELMASI!")</calculatedColumnFormula>
    </tableColumn>
  </tableColumns>
  <tableStyleInfo name="Helsinki_taulukko_tyyli" showFirstColumn="1" showLastColumn="0" showRowStripes="0" showColumnStripes="0"/>
  <extLst>
    <ext xmlns:x14="http://schemas.microsoft.com/office/spreadsheetml/2009/9/main" uri="{504A1905-F514-4f6f-8877-14C23A59335A}">
      <x14:table altTextSummary="Rahan lähteiden ja rahan tarpeiden erotus -taulukko"/>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108C29C-0A29-6340-A2D1-C7265725AC87}" name="Kassastamaksu_alv_taulukko_2" displayName="Kassastamaksu_alv_taulukko_2" comment="Toisen vuoden jaksoittainen kassastamaksu taulukko ostoille joihin lisätään arvonlisävero." ref="A18:N21" headerRowDxfId="253" dataDxfId="251" totalsRowDxfId="249" headerRowBorderDxfId="252" tableBorderDxfId="250" totalsRowBorderDxfId="248">
  <autoFilter ref="A18:N21"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52C83BD2-838B-A948-B945-6E2E9C43B81E}" name="Kassastamaksu (sisältää alv)" totalsRowLabel="Total" dataDxfId="247" totalsRowDxfId="246"/>
    <tableColumn id="3" xr3:uid="{A09236CD-3417-1A42-AB4F-6BBB397F38A9}" name="Jakso 1" dataDxfId="245" totalsRowDxfId="244">
      <calculatedColumnFormula>SUM(Alkukassa_taulukko_2[Jakso 1],Kassaanmaksu_taulukko_2[[#Totals],[Jakso 1]])</calculatedColumnFormula>
    </tableColumn>
    <tableColumn id="4" xr3:uid="{4BF68D3E-457A-4548-BC7A-B4968A9B0E7F}" name="Jakso 2" dataDxfId="243" totalsRowDxfId="242">
      <calculatedColumnFormula>SUM(Alkukassa_taulukko_2[Jakso 2],Kassaanmaksu_taulukko_2[[#Totals],[Jakso 2]])</calculatedColumnFormula>
    </tableColumn>
    <tableColumn id="5" xr3:uid="{CA77AAD2-C730-9C4B-8B26-A95511D590D7}" name="Jakso 3" dataDxfId="241" totalsRowDxfId="240">
      <calculatedColumnFormula>SUM(Alkukassa_taulukko_2[Jakso 3],Kassaanmaksu_taulukko_2[[#Totals],[Jakso 3]])</calculatedColumnFormula>
    </tableColumn>
    <tableColumn id="6" xr3:uid="{5DD6A0B3-C7D7-6846-A2DD-F3DF87B69DAB}" name="Jakso 4" dataDxfId="239" totalsRowDxfId="238">
      <calculatedColumnFormula>SUM(Alkukassa_taulukko_2[Jakso 4],Kassaanmaksu_taulukko_2[[#Totals],[Jakso 4]])</calculatedColumnFormula>
    </tableColumn>
    <tableColumn id="7" xr3:uid="{56ABD288-7376-894D-8A56-4785E2CF6846}" name="Jakso 5" dataDxfId="237" totalsRowDxfId="236">
      <calculatedColumnFormula>SUM(Alkukassa_taulukko_2[Jakso 5],Kassaanmaksu_taulukko_2[[#Totals],[Jakso 5]])</calculatedColumnFormula>
    </tableColumn>
    <tableColumn id="8" xr3:uid="{BBBC3127-47A9-1D41-BFBC-289BD14B1F03}" name="Jakso 6" dataDxfId="235" totalsRowDxfId="234">
      <calculatedColumnFormula>SUM(Alkukassa_taulukko_2[Jakso 6],Kassaanmaksu_taulukko_2[[#Totals],[Jakso 6]])</calculatedColumnFormula>
    </tableColumn>
    <tableColumn id="9" xr3:uid="{04CEFCD7-5071-6D42-B0D4-476EAA6DDFA4}" name="Jakso 7" dataDxfId="233" totalsRowDxfId="232">
      <calculatedColumnFormula>SUM(Alkukassa_taulukko_2[Jakso 7],Kassaanmaksu_taulukko_2[[#Totals],[Jakso 7]])</calculatedColumnFormula>
    </tableColumn>
    <tableColumn id="10" xr3:uid="{C96B87DF-36C3-154E-9DEC-AB4DCF02A9C1}" name="Jakso 8" dataDxfId="231" totalsRowDxfId="230">
      <calculatedColumnFormula>SUM(Alkukassa_taulukko_2[Jakso 8],Kassaanmaksu_taulukko_2[[#Totals],[Jakso 8]])</calculatedColumnFormula>
    </tableColumn>
    <tableColumn id="11" xr3:uid="{EDAFEC45-A8E4-404F-A349-04893D7F22B2}" name="Jakso 9" dataDxfId="229" totalsRowDxfId="228">
      <calculatedColumnFormula>SUM(Alkukassa_taulukko_2[Jakso 9],Kassaanmaksu_taulukko_2[[#Totals],[Jakso 9]])</calculatedColumnFormula>
    </tableColumn>
    <tableColumn id="12" xr3:uid="{008C408A-7C23-0D43-9873-4A8CB909A119}" name="Jakso 10" dataDxfId="227" totalsRowDxfId="226">
      <calculatedColumnFormula>SUM(Alkukassa_taulukko_2[Jakso 10],Kassaanmaksu_taulukko_2[[#Totals],[Jakso 10]])</calculatedColumnFormula>
    </tableColumn>
    <tableColumn id="13" xr3:uid="{370F0590-53EB-0242-85B9-76D837683E75}" name="Jakso 11" dataDxfId="225" totalsRowDxfId="224">
      <calculatedColumnFormula>SUM(Alkukassa_taulukko_2[Jakso 11],Kassaanmaksu_taulukko_2[[#Totals],[Jakso 11]])</calculatedColumnFormula>
    </tableColumn>
    <tableColumn id="14" xr3:uid="{CC69062E-50EF-354B-9AAE-4891D0895D91}" name="Jakso 12" dataDxfId="223" totalsRowDxfId="222">
      <calculatedColumnFormula>SUM(Alkukassa_taulukko_2[Jakso 12],Kassaanmaksu_taulukko_2[[#Totals],[Jakso 12]])</calculatedColumnFormula>
    </tableColumn>
    <tableColumn id="15" xr3:uid="{E189CF29-33D3-3347-9809-0BCCE37E37B1}" name="Yhteensä" totalsRowFunction="sum" dataDxfId="221" totalsRowDxfId="220">
      <calculatedColumnFormula>SUM(Kassastamaksu_alv_taulukko_2[[#This Row],[Jakso 1]:[Jakso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10B84CFB-AD40-D94A-AFC7-DCC7C17C663B}" name="Kassaanmaksu_taulukko_3" displayName="Kassaanmaksu_taulukko_3" comment="Kolmannen vuoden jaksoittainen kassaanmaksu taulukko." ref="A10:N15" headerRowDxfId="219" dataDxfId="217" totalsRowDxfId="215" headerRowBorderDxfId="218" tableBorderDxfId="216" totalsRowBorderDxfId="214">
  <autoFilter ref="A10:N15" xr:uid="{E60A1218-0546-5B4B-AC2C-2B93DEACA6B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4D0E5F56-5937-8D43-ADF5-879789D1A606}" name="Kassaanmaksu, eli tulot" totalsRowLabel="Yhteensä" dataDxfId="213" totalsRowDxfId="212"/>
    <tableColumn id="3" xr3:uid="{06F00A30-0C24-CE41-892F-2054AA6B14DB}" name="Jakso 1" totalsRowFunction="sum" dataDxfId="211" totalsRowDxfId="210"/>
    <tableColumn id="4" xr3:uid="{295330C1-DD6E-8741-A8A4-D421EC1A501C}" name="Jakso 2" totalsRowFunction="sum" dataDxfId="209" totalsRowDxfId="208"/>
    <tableColumn id="5" xr3:uid="{23B3D5A4-1899-0E4B-B3F7-71112D75151D}" name="Jakso 3" totalsRowFunction="sum" dataDxfId="207" totalsRowDxfId="206"/>
    <tableColumn id="6" xr3:uid="{6A7B9AFE-4C0D-B048-A8E7-3B48128FF043}" name="Jakso 4" totalsRowFunction="sum" dataDxfId="205" totalsRowDxfId="204"/>
    <tableColumn id="7" xr3:uid="{327A6C03-3C07-EC4B-8A0D-DB6A8385BE6B}" name="Jakso 5" totalsRowFunction="sum" dataDxfId="203" totalsRowDxfId="202"/>
    <tableColumn id="8" xr3:uid="{129BCA0E-88EA-A149-8774-C635D64A53DF}" name="Jakso 6" totalsRowFunction="sum" dataDxfId="201" totalsRowDxfId="200"/>
    <tableColumn id="9" xr3:uid="{68C4FEBC-9851-8644-80B8-7D55E77D0EC3}" name="Jakso 7" totalsRowFunction="sum" dataDxfId="199" totalsRowDxfId="198"/>
    <tableColumn id="10" xr3:uid="{27374A15-77A3-AC48-906A-D8D474564CF3}" name="Jakso 8" totalsRowFunction="sum" dataDxfId="197" totalsRowDxfId="196"/>
    <tableColumn id="11" xr3:uid="{CC3ABEAD-6D6B-894E-BE2D-D668396F3ABD}" name="Jakso 9" totalsRowFunction="sum" dataDxfId="195" totalsRowDxfId="194"/>
    <tableColumn id="12" xr3:uid="{7E5B29C1-A4D9-9E4A-B841-3C912E790828}" name="Jakso 10" totalsRowFunction="sum" dataDxfId="193" totalsRowDxfId="192"/>
    <tableColumn id="13" xr3:uid="{363DB0E0-96AE-F94C-B7FB-60095C5105CC}" name="Jakso 11" totalsRowFunction="sum" dataDxfId="191" totalsRowDxfId="190"/>
    <tableColumn id="14" xr3:uid="{644469F1-7058-0540-BB83-9B64889E5200}" name="Jakso 12" totalsRowFunction="sum" dataDxfId="189" totalsRowDxfId="188"/>
    <tableColumn id="15" xr3:uid="{358B9A48-244B-DD4D-B890-8AAA28377EC6}" name="Yhteensä" totalsRowFunction="sum" dataDxfId="187" totalsRowDxfId="186">
      <calculatedColumnFormula>SUM(Kassaanmaksu_taulukko_3[[#This Row],[Jakso 1]:[Jakso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anmaksu -taulukko"/>
    </ext>
  </extLst>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3788C509-8C1E-CC4C-B854-4B6E59304D4D}" name="Kassastamaksu_taulukko_3" displayName="Kassastamaksu_taulukko_3" comment="Kolmannen vuoden jaksoittainen kassastamaksu (alv 0%) taulukko." ref="A22:N32" totalsRowCount="1" headerRowDxfId="185" dataDxfId="183" totalsRowDxfId="181" headerRowBorderDxfId="184" tableBorderDxfId="182" totalsRowBorderDxfId="180">
  <autoFilter ref="A22:N31" xr:uid="{D9711FDB-A19A-7741-A748-BA2445773E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B469638-8B94-774C-A39C-50B2E7D0CF1D}" name="Kassastamaksu (alv 0%)" totalsRowLabel="Kassastamaksu yhteensä" dataDxfId="179" totalsRowDxfId="178"/>
    <tableColumn id="3" xr3:uid="{AAEE02B7-8748-F847-9D1C-6CA1DF54B175}" name="Jakso 1" totalsRowFunction="custom" dataDxfId="177" totalsRowDxfId="176">
      <totalsRowFormula>SUM(Kassastamaksu_taulukko_3[Jakso 1],B19,B21)</totalsRowFormula>
    </tableColumn>
    <tableColumn id="4" xr3:uid="{EDBA2AC8-BDC6-A048-8E80-895872F4AE01}" name="Jakso 2" totalsRowFunction="custom" dataDxfId="175" totalsRowDxfId="174">
      <totalsRowFormula>SUM(Kassastamaksu_taulukko_3[Jakso 2],C19,C21)</totalsRowFormula>
    </tableColumn>
    <tableColumn id="5" xr3:uid="{5C34637F-C507-EB4F-8FE3-0426089F8B1A}" name="Jakso 3" totalsRowFunction="custom" dataDxfId="173" totalsRowDxfId="172">
      <totalsRowFormula>SUM(Kassastamaksu_taulukko_3[Jakso 3],D19,D21)</totalsRowFormula>
    </tableColumn>
    <tableColumn id="6" xr3:uid="{709AAEFC-D809-3E4C-ACD7-172B5D0444C5}" name="Jakso 4" totalsRowFunction="custom" dataDxfId="171" totalsRowDxfId="170">
      <totalsRowFormula>SUM(Kassastamaksu_taulukko_3[Jakso 4],E19,E21)</totalsRowFormula>
    </tableColumn>
    <tableColumn id="7" xr3:uid="{E285BF77-98F7-7D4B-8161-B58778069245}" name="Jakso 5" totalsRowFunction="custom" dataDxfId="169" totalsRowDxfId="168">
      <totalsRowFormula>SUM(Kassastamaksu_taulukko_3[Jakso 5],F19,F21)</totalsRowFormula>
    </tableColumn>
    <tableColumn id="8" xr3:uid="{EA54AB74-9E3C-2A4D-9385-6A39AD1F3E1F}" name="Jakso 6" totalsRowFunction="custom" dataDxfId="167" totalsRowDxfId="166">
      <totalsRowFormula>SUM(Kassastamaksu_taulukko_3[Jakso 6],G19,G21)</totalsRowFormula>
    </tableColumn>
    <tableColumn id="9" xr3:uid="{ED9853D9-6471-A347-B27E-CCB8B704DF83}" name="Jakso 7" totalsRowFunction="custom" dataDxfId="165" totalsRowDxfId="164">
      <totalsRowFormula>SUM(Kassastamaksu_taulukko_3[Jakso 7],H19,H21)</totalsRowFormula>
    </tableColumn>
    <tableColumn id="10" xr3:uid="{9E0E5EC5-711E-964E-86E0-6011B81BB9E6}" name="Jakso 8" totalsRowFunction="custom" dataDxfId="163" totalsRowDxfId="162">
      <totalsRowFormula>SUM(Kassastamaksu_taulukko_3[Jakso 8],I19,I21)</totalsRowFormula>
    </tableColumn>
    <tableColumn id="11" xr3:uid="{83433ACB-4425-E74D-8AF6-DA9A417852ED}" name="Jakso 9" totalsRowFunction="custom" dataDxfId="161" totalsRowDxfId="160">
      <totalsRowFormula>SUM(Kassastamaksu_taulukko_3[Jakso 9],J19,J21)</totalsRowFormula>
    </tableColumn>
    <tableColumn id="12" xr3:uid="{1CC892DE-07D7-3142-BA3B-3705275D8BA9}" name="Jakso 10" totalsRowFunction="custom" dataDxfId="159" totalsRowDxfId="158">
      <totalsRowFormula>SUM(Kassastamaksu_taulukko_3[Jakso 10],K19,K21)</totalsRowFormula>
    </tableColumn>
    <tableColumn id="13" xr3:uid="{775CA5CC-B533-3944-B37A-436527A62E03}" name="Jakso 11" totalsRowFunction="custom" dataDxfId="157" totalsRowDxfId="156">
      <totalsRowFormula>SUM(Kassastamaksu_taulukko_3[Jakso 11],L19,L21)</totalsRowFormula>
    </tableColumn>
    <tableColumn id="14" xr3:uid="{4764B4DA-262C-3E4B-88CB-D0B0BCF0B8CB}" name="Jakso 12" totalsRowFunction="custom" dataDxfId="155" totalsRowDxfId="154">
      <totalsRowFormula>SUM(Kassastamaksu_taulukko_3[Jakso 12],M19,M21)</totalsRowFormula>
    </tableColumn>
    <tableColumn id="15" xr3:uid="{B32A6E04-9C68-B746-8E5A-DCADB8BEA43C}" name="Yhteensä" totalsRowFunction="custom" dataDxfId="153" totalsRowDxfId="152">
      <calculatedColumnFormula>SUM(Kassastamaksu_taulukko_3[[#This Row],[Jakso 1]:[Jakso 12]])</calculatedColumnFormula>
      <totalsRowFormula>SUM(Kassastamaksu_taulukko_3[[#Totals],[Jakso 1]:[Jakso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kassastamaksu -taulukko"/>
    </ext>
  </extLst>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50BEDF1-661B-A147-AAAB-9946952F753F}" name="Alkukassa_taulukko_3" displayName="Alkukassa_taulukko_3" comment="Kolmannen vuoden jaksoittaiset rahavarat kauden alussa." ref="A8:N9" headerRowDxfId="151" dataDxfId="149" totalsRowDxfId="147" headerRowBorderDxfId="150" tableBorderDxfId="148" totalsRowBorderDxfId="146">
  <autoFilter ref="A8:N9" xr:uid="{E859B1C7-FD8F-A44C-B13C-88F30BFD3B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958AB5B-BBB7-9743-92F0-0AF5C2B5DB55}" name="Alkukassa, eli rahavarat kauden alussa" totalsRowLabel="Total" dataDxfId="145"/>
    <tableColumn id="3" xr3:uid="{DDD10F66-4501-1D49-87A3-482715A1960B}" name="Jakso 1" dataDxfId="144">
      <calculatedColumnFormula>Kassavirtalaskelma2v!M42</calculatedColumnFormula>
    </tableColumn>
    <tableColumn id="4" xr3:uid="{0E105097-07D3-5540-8059-D966C5B7063F}" name="Jakso 2" dataDxfId="143">
      <calculatedColumnFormula>B42</calculatedColumnFormula>
    </tableColumn>
    <tableColumn id="5" xr3:uid="{737DA558-789B-7740-AC8B-F16381E7228E}" name="Jakso 3" dataDxfId="142">
      <calculatedColumnFormula>C42</calculatedColumnFormula>
    </tableColumn>
    <tableColumn id="6" xr3:uid="{14075A6C-8EC5-364C-B988-7353C3A609CC}" name="Jakso 4" dataDxfId="141">
      <calculatedColumnFormula>D42</calculatedColumnFormula>
    </tableColumn>
    <tableColumn id="7" xr3:uid="{F95A1D11-4D16-E643-833E-F24C498E767E}" name="Jakso 5" dataDxfId="140">
      <calculatedColumnFormula>E42</calculatedColumnFormula>
    </tableColumn>
    <tableColumn id="8" xr3:uid="{AB94ACA3-2158-0240-A72F-D1EA535ECC4B}" name="Jakso 6" dataDxfId="139">
      <calculatedColumnFormula>F42</calculatedColumnFormula>
    </tableColumn>
    <tableColumn id="9" xr3:uid="{54DCFC00-C07C-3744-9AFD-2D047A8E616B}" name="Jakso 7" dataDxfId="138">
      <calculatedColumnFormula>G42</calculatedColumnFormula>
    </tableColumn>
    <tableColumn id="10" xr3:uid="{267406CC-A145-A943-946C-A5EFA0702D44}" name="Jakso 8" dataDxfId="137">
      <calculatedColumnFormula>H42</calculatedColumnFormula>
    </tableColumn>
    <tableColumn id="11" xr3:uid="{94F4C7F6-2AFA-B44C-B776-35F073CF2599}" name="Jakso 9" dataDxfId="136">
      <calculatedColumnFormula>I42</calculatedColumnFormula>
    </tableColumn>
    <tableColumn id="12" xr3:uid="{B5728C11-280A-ED45-8F84-24E21308491F}" name="Jakso 10" dataDxfId="135">
      <calculatedColumnFormula>J42</calculatedColumnFormula>
    </tableColumn>
    <tableColumn id="13" xr3:uid="{27AAE0C3-FA8A-B449-8BE5-6490352D791D}" name="Jakso 11" dataDxfId="134">
      <calculatedColumnFormula>K42</calculatedColumnFormula>
    </tableColumn>
    <tableColumn id="14" xr3:uid="{58A99DB0-975D-DB42-8283-B7734894FC13}" name="Jakso 12" dataDxfId="133">
      <calculatedColumnFormula>L42</calculatedColumnFormula>
    </tableColumn>
    <tableColumn id="15" xr3:uid="{71A89A51-E5C1-8240-8B4C-75C8ADC80537}" name="Yhteensä" totalsRowFunction="sum" dataDxfId="132"/>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taulukko"/>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E35653FA-C418-294E-833A-93058592ADD4}" name="Alkukassa_ja_tulot_taulukko_3" displayName="Alkukassa_ja_tulot_taulukko_3" comment="Kolmannen vuoden jaksoittaiset alkukassan ja tulojen summat." ref="A16:N17" headerRowDxfId="131" dataDxfId="129" totalsRowDxfId="127" headerRowBorderDxfId="130" tableBorderDxfId="128" totalsRowBorderDxfId="126">
  <autoFilter ref="A16:N17" xr:uid="{CA23FAC7-F6C9-C84C-96AE-3DE9DA5CF41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00678DC-1833-A041-9DD3-F8C18439DEF5}" name="Alkukassa ja tulot" totalsRowLabel="Total" dataDxfId="125" totalsRowDxfId="124"/>
    <tableColumn id="3" xr3:uid="{1B2E2BE2-5918-FC4D-9C06-B492122650FB}" name="Jakso 1" dataDxfId="123" totalsRowDxfId="122">
      <calculatedColumnFormula>SUM(Alkukassa_taulukko_3[Jakso 1],B15)</calculatedColumnFormula>
    </tableColumn>
    <tableColumn id="4" xr3:uid="{C8266F26-3AFB-E44F-8D20-7603A5276EB8}" name="Jakso 2" dataDxfId="121" totalsRowDxfId="120">
      <calculatedColumnFormula>SUM(Alkukassa_taulukko_3[Jakso 2],C15)</calculatedColumnFormula>
    </tableColumn>
    <tableColumn id="5" xr3:uid="{1710C0FD-C9D6-A04C-86B1-B5EFB784C14E}" name="Jakso 3" dataDxfId="119" totalsRowDxfId="118">
      <calculatedColumnFormula>SUM(Alkukassa_taulukko_3[Jakso 3],D15)</calculatedColumnFormula>
    </tableColumn>
    <tableColumn id="6" xr3:uid="{C658C9C7-C142-984E-B512-00023D415DE2}" name="Jakso 4" dataDxfId="117" totalsRowDxfId="116">
      <calculatedColumnFormula>SUM(Alkukassa_taulukko_3[Jakso 4],E15)</calculatedColumnFormula>
    </tableColumn>
    <tableColumn id="7" xr3:uid="{4A5749EF-A539-E644-A1BF-780FB8435690}" name="Jakso 5" dataDxfId="115" totalsRowDxfId="114">
      <calculatedColumnFormula>SUM(Alkukassa_taulukko_3[Jakso 5],F15)</calculatedColumnFormula>
    </tableColumn>
    <tableColumn id="8" xr3:uid="{830C6568-49BF-C743-A7A3-7DCF0ABDD663}" name="Jakso 6" dataDxfId="113" totalsRowDxfId="112">
      <calculatedColumnFormula>SUM(Alkukassa_taulukko_3[Jakso 6],G15)</calculatedColumnFormula>
    </tableColumn>
    <tableColumn id="9" xr3:uid="{B28E2570-2548-BB48-A817-05AA52E8C6C4}" name="Jakso 7" dataDxfId="111" totalsRowDxfId="110">
      <calculatedColumnFormula>SUM(Alkukassa_taulukko_3[Jakso 7],H15)</calculatedColumnFormula>
    </tableColumn>
    <tableColumn id="10" xr3:uid="{0EE84D6E-9159-F543-ACD9-AA5D7D7D8345}" name="Jakso 8" dataDxfId="109" totalsRowDxfId="108">
      <calculatedColumnFormula>SUM(Alkukassa_taulukko_3[Jakso 8],I15)</calculatedColumnFormula>
    </tableColumn>
    <tableColumn id="11" xr3:uid="{115D0A0A-464B-D64B-A087-F4225CDB45C2}" name="Jakso 9" dataDxfId="107" totalsRowDxfId="106">
      <calculatedColumnFormula>SUM(Alkukassa_taulukko_3[Jakso 9],J15)</calculatedColumnFormula>
    </tableColumn>
    <tableColumn id="12" xr3:uid="{B68A22B7-AA8D-064F-9EC7-EA340B4041BC}" name="Jakso 10" dataDxfId="105" totalsRowDxfId="104">
      <calculatedColumnFormula>SUM(Alkukassa_taulukko_3[Jakso 10],K15)</calculatedColumnFormula>
    </tableColumn>
    <tableColumn id="13" xr3:uid="{38952024-4C05-2945-8686-1FE39375B81B}" name="Jakso 11" dataDxfId="103" totalsRowDxfId="102">
      <calculatedColumnFormula>SUM(Alkukassa_taulukko_3[Jakso 11],L15)</calculatedColumnFormula>
    </tableColumn>
    <tableColumn id="14" xr3:uid="{E16119D7-A39E-814D-870E-C5D9219F9F87}" name="Jakso 12" dataDxfId="101" totalsRowDxfId="100">
      <calculatedColumnFormula>SUM(Alkukassa_taulukko_3[Jakso 12],M15)</calculatedColumnFormula>
    </tableColumn>
    <tableColumn id="15" xr3:uid="{3A545AC6-4DBE-4F4D-8DB5-6321AB64B3AC}" name="Yhteensä" totalsRowFunction="sum" dataDxfId="99" totalsRowDxfId="98"/>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8AC07260-3F61-D841-9BEA-69C4BF149FE5}" name="Maksuvalmius_taulukko_3" displayName="Maksuvalmius_taulukko_3" comment="Kolmannen vuoden jaksoittaiset alkukassan, tulojen ja kassastamaksun summat." ref="A41:N43" totalsRowShown="0" headerRowDxfId="97" dataDxfId="95" headerRowBorderDxfId="96" tableBorderDxfId="94" totalsRowBorderDxfId="93">
  <autoFilter ref="A41:N43" xr:uid="{C7E86B2D-0B2E-D645-BA90-973ABE71AAE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B190F260-1A6C-DC4C-BD46-F534391EDF91}" name="Maksuvalmius (kuun lopussa)" dataDxfId="92"/>
    <tableColumn id="3" xr3:uid="{E3D9386A-661A-D14A-95E7-165AF2D9FB7A}" name="Jakso 1" dataDxfId="91">
      <calculatedColumnFormula>SUM(Alkukassa_ja_tulot_taulukko_3[Jakso 1],-Kassastamaksu_taulukko_3[[#Totals],[Jakso 1]],Rahoitus_taulukko_3[[#Totals],[Jakso 1]])</calculatedColumnFormula>
    </tableColumn>
    <tableColumn id="4" xr3:uid="{C8E682DC-3B3E-F049-AF9B-7135D5E69C6A}" name="Jakso 2" dataDxfId="90">
      <calculatedColumnFormula>SUM(Alkukassa_ja_tulot_taulukko_3[Jakso 2],-Kassastamaksu_taulukko_3[[#Totals],[Jakso 2]],Rahoitus_taulukko_3[[#Totals],[Jakso 2]])</calculatedColumnFormula>
    </tableColumn>
    <tableColumn id="5" xr3:uid="{446A992A-A5EB-0043-BC00-3A592089232C}" name="Jakso 3" dataDxfId="89">
      <calculatedColumnFormula>SUM(Alkukassa_ja_tulot_taulukko_3[Jakso 3],-Kassastamaksu_taulukko_3[[#Totals],[Jakso 3]],Rahoitus_taulukko_3[[#Totals],[Jakso 3]])</calculatedColumnFormula>
    </tableColumn>
    <tableColumn id="6" xr3:uid="{DCDACCA6-7B6A-3B48-A9F2-B22F422C85EB}" name="Jakso 4" dataDxfId="88">
      <calculatedColumnFormula>SUM(Alkukassa_ja_tulot_taulukko_3[Jakso 4],-Kassastamaksu_taulukko_3[[#Totals],[Jakso 4]],Rahoitus_taulukko_3[[#Totals],[Jakso 4]])</calculatedColumnFormula>
    </tableColumn>
    <tableColumn id="7" xr3:uid="{19B9FE74-459D-9344-BA79-8410126125C3}" name="Jakso 5" dataDxfId="87">
      <calculatedColumnFormula>SUM(Alkukassa_ja_tulot_taulukko_3[Jakso 5],-Kassastamaksu_taulukko_3[[#Totals],[Jakso 5]],Rahoitus_taulukko_3[[#Totals],[Jakso 5]])</calculatedColumnFormula>
    </tableColumn>
    <tableColumn id="8" xr3:uid="{320D60E5-2F38-6C42-A8BB-035024255131}" name="Jakso 6" dataDxfId="86">
      <calculatedColumnFormula>SUM(Alkukassa_ja_tulot_taulukko_3[Jakso 6],-Kassastamaksu_taulukko_3[[#Totals],[Jakso 6]],Rahoitus_taulukko_3[[#Totals],[Jakso 6]])</calculatedColumnFormula>
    </tableColumn>
    <tableColumn id="9" xr3:uid="{7FACDEA1-1E71-A742-AF42-3A360B369E33}" name="Jakso 7" dataDxfId="85">
      <calculatedColumnFormula>SUM(Alkukassa_ja_tulot_taulukko_3[Jakso 7],-Kassastamaksu_taulukko_3[[#Totals],[Jakso 7]],Rahoitus_taulukko_3[[#Totals],[Jakso 7]])</calculatedColumnFormula>
    </tableColumn>
    <tableColumn id="10" xr3:uid="{1EE97AAF-1200-B649-9020-F3138C9BA8B0}" name="Jakso 8" dataDxfId="84">
      <calculatedColumnFormula>SUM(Alkukassa_ja_tulot_taulukko_3[Jakso 8],-Kassastamaksu_taulukko_3[[#Totals],[Jakso 8]],Rahoitus_taulukko_3[[#Totals],[Jakso 8]])</calculatedColumnFormula>
    </tableColumn>
    <tableColumn id="11" xr3:uid="{C03B7567-6D9C-4145-80E5-5478496DBB92}" name="Jakso 9" dataDxfId="83">
      <calculatedColumnFormula>SUM(Alkukassa_ja_tulot_taulukko_3[Jakso 9],-Kassastamaksu_taulukko_3[[#Totals],[Jakso 9]],Rahoitus_taulukko_3[[#Totals],[Jakso 9]])</calculatedColumnFormula>
    </tableColumn>
    <tableColumn id="12" xr3:uid="{2303C661-2A71-7E4B-89DA-5DB755E296AA}" name="Jakso 10" dataDxfId="82">
      <calculatedColumnFormula>SUM(Alkukassa_ja_tulot_taulukko_3[Jakso 10],-Kassastamaksu_taulukko_3[[#Totals],[Jakso 10]],Rahoitus_taulukko_3[[#Totals],[Jakso 10]])</calculatedColumnFormula>
    </tableColumn>
    <tableColumn id="13" xr3:uid="{13409E46-A3E6-EB4F-9FC5-532B8629C273}" name="Jakso 11" dataDxfId="81">
      <calculatedColumnFormula>SUM(Alkukassa_ja_tulot_taulukko_3[Jakso 11],-Kassastamaksu_taulukko_3[[#Totals],[Jakso 11]],Rahoitus_taulukko_3[[#Totals],[Jakso 11]])</calculatedColumnFormula>
    </tableColumn>
    <tableColumn id="14" xr3:uid="{8968D2E0-144E-694A-A4EE-26FB33CDD74A}" name="Jakso 12" dataDxfId="80">
      <calculatedColumnFormula>SUM(Alkukassa_ja_tulot_taulukko_3[Jakso 12],-Kassastamaksu_taulukko_3[[#Totals],[Jakso 12]],Rahoitus_taulukko_3[[#Totals],[Jakso 12]])</calculatedColumnFormula>
    </tableColumn>
    <tableColumn id="15" xr3:uid="{F2395275-9132-6140-87EE-4B1B58FB3F90}" name="Yhteensä" dataDxfId="79">
      <calculatedColumnFormula>SUM(Maksuvalmius_taulukko_3[[#This Row],[Jakso 1]:[Jakso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maksuvalmius kuun lopussa -taulukko"/>
    </ext>
  </extLst>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FF451F4E-5B49-4C45-80D6-89C0035369A8}" name="Rahoitus_taulukko_3" displayName="Rahoitus_taulukko_3" comment="Kolmannen vuoden jaksoittaiset rahoitukset. Lainojen lyhennykset ja omistajien yksityisostot vähennetään kokonaisuudesta." ref="A33:N40" totalsRowCount="1" headerRowDxfId="78" dataDxfId="76" totalsRowDxfId="74" headerRowBorderDxfId="77" tableBorderDxfId="75" totalsRowBorderDxfId="73">
  <autoFilter ref="A33:N39" xr:uid="{C922F40D-8C92-8749-908C-49EACF9198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A73D5BA-7347-674D-BD7D-324CB2E88636}" name="Rahoitus" totalsRowLabel="Rahoitus yhteensä" dataDxfId="72" totalsRowDxfId="71"/>
    <tableColumn id="3" xr3:uid="{E87FE6AB-1330-1441-9F27-4F314E13DD46}" name="Jakso 1" totalsRowFunction="custom" dataDxfId="70" totalsRowDxfId="69">
      <totalsRowFormula>SUM(-B34,B35:B36,-B37,B38:B39)</totalsRowFormula>
    </tableColumn>
    <tableColumn id="4" xr3:uid="{2E110CDC-E9F4-2844-97A4-EE7509FDF13F}" name="Jakso 2" totalsRowFunction="custom" dataDxfId="68" totalsRowDxfId="67">
      <totalsRowFormula>SUM(-C34,C35:C36,-C37,C38:C39)</totalsRowFormula>
    </tableColumn>
    <tableColumn id="5" xr3:uid="{6CF6CF01-BA97-6446-9152-DFDF2A585BDB}" name="Jakso 3" totalsRowFunction="custom" dataDxfId="66" totalsRowDxfId="65">
      <totalsRowFormula>SUM(-D34,D35:D36,-D37,D38:D39)</totalsRowFormula>
    </tableColumn>
    <tableColumn id="6" xr3:uid="{68E1963D-2D4B-954F-B077-B7CFFC79C0E7}" name="Jakso 4" totalsRowFunction="custom" dataDxfId="64" totalsRowDxfId="63">
      <totalsRowFormula>SUM(-E34,E35:E36,-E37,E38:E39)</totalsRowFormula>
    </tableColumn>
    <tableColumn id="7" xr3:uid="{B1585624-FBEE-224F-9BD4-6F761E9DE55C}" name="Jakso 5" totalsRowFunction="custom" dataDxfId="62" totalsRowDxfId="61">
      <totalsRowFormula>SUM(-F34,F35:F36,-F37,F38:F39)</totalsRowFormula>
    </tableColumn>
    <tableColumn id="8" xr3:uid="{086C9EF4-619E-EA40-A2E5-1AC9386D5D80}" name="Jakso 6" totalsRowFunction="custom" dataDxfId="60" totalsRowDxfId="59">
      <totalsRowFormula>SUM(-G34,G35:G36,-G37,G38:G39)</totalsRowFormula>
    </tableColumn>
    <tableColumn id="9" xr3:uid="{E12FCE94-8666-E74B-8C04-988F41810D90}" name="Jakso 7" totalsRowFunction="custom" dataDxfId="58" totalsRowDxfId="57">
      <totalsRowFormula>SUM(-H34,H35:H36,-H37,H38:H39)</totalsRowFormula>
    </tableColumn>
    <tableColumn id="10" xr3:uid="{A0076D76-AC18-964E-8BC7-EA90529EA00B}" name="Jakso 8" totalsRowFunction="custom" dataDxfId="56" totalsRowDxfId="55">
      <totalsRowFormula>SUM(-I34,I35:I36,-I37,I38:I39)</totalsRowFormula>
    </tableColumn>
    <tableColumn id="11" xr3:uid="{36715B1F-4768-DF49-B43D-3938C839DE1B}" name="Jakso 9" totalsRowFunction="custom" dataDxfId="54" totalsRowDxfId="53">
      <totalsRowFormula>SUM(-J34,J35:J36,-J37,J38:J39)</totalsRowFormula>
    </tableColumn>
    <tableColumn id="12" xr3:uid="{E2B7D5B7-1EAA-5E47-9047-7A081339E446}" name="Jakso 10" totalsRowFunction="custom" dataDxfId="52" totalsRowDxfId="51">
      <totalsRowFormula>SUM(-K34,K35:K36,-K37,K38:K39)</totalsRowFormula>
    </tableColumn>
    <tableColumn id="13" xr3:uid="{FE3B3787-075F-204D-9A0E-B4185C6B0344}" name="Jakso 11" totalsRowFunction="custom" dataDxfId="50" totalsRowDxfId="49">
      <totalsRowFormula>SUM(-L34,L35:L36,-L37,L38:L39)</totalsRowFormula>
    </tableColumn>
    <tableColumn id="14" xr3:uid="{98FCA6D6-044B-164A-A89F-CCD7FBC066C1}" name="Jakso 12" totalsRowFunction="custom" dataDxfId="48" totalsRowDxfId="47">
      <totalsRowFormula>SUM(-M34,M35:M36,-M37,M38:M39)</totalsRowFormula>
    </tableColumn>
    <tableColumn id="15" xr3:uid="{328667F5-BFD6-D948-BB7E-EAC04ACC69F9}" name="Yhteensä" totalsRowFunction="custom" dataDxfId="46" totalsRowDxfId="45">
      <calculatedColumnFormula>SUM(Rahoitus_taulukko_3[[#This Row],[Jakso 1]:[Jakso 12]])</calculatedColumnFormula>
      <totalsRowFormula>SUM(Rahoitus_taulukko_3[[#Totals],[Jakso 1]:[Jakso 12]])</totalsRow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rahoitus -taulukko"/>
    </ext>
  </extLst>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455B1C88-0D35-DB45-BBDC-E5804FA67934}" name="Ohjeet_kassavirtalaskelmaan_3" displayName="Ohjeet_kassavirtalaskelmaan_3" comment="Ohjeet kolmannen vuoden kassavirtalaskelmaan." ref="A44:A45" totalsRowShown="0" headerRowDxfId="44" dataDxfId="42" headerRowBorderDxfId="43" tableBorderDxfId="41" totalsRowBorderDxfId="40">
  <autoFilter ref="A44:A45" xr:uid="{FE437FF9-D5FB-684A-AAC0-0E054B3277B7}">
    <filterColumn colId="0" hiddenButton="1"/>
  </autoFilter>
  <tableColumns count="1">
    <tableColumn id="1" xr3:uid="{02F321C1-79E9-0042-9F89-819CA099A9B1}" name="Ohjeet kassavirtalaskelmaan:" dataDxfId="39"/>
  </tableColumns>
  <tableStyleInfo name="Helsinki_taulukko_tyyli" showFirstColumn="0" showLastColumn="0" showRowStripes="0"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90791932-5F80-C545-A120-E3AD767B5368}" name="Kassastamaksu_alv_taulukko_3" displayName="Kassastamaksu_alv_taulukko_3" comment="Kolmannen vuoden jaksoittainen kassastamaksu taulukko ostoille joihin lisätään arvonlisävero." ref="A18:N21" headerRowDxfId="38" dataDxfId="36" totalsRowDxfId="34" headerRowBorderDxfId="37" tableBorderDxfId="35" totalsRowBorderDxfId="33">
  <autoFilter ref="A18:N21" xr:uid="{A47778E7-A926-1E41-AD64-F4192822B7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A261B0A-AD85-4D44-962F-2105710978B6}" name="Kassastamaksu (sisältää alv)" totalsRowLabel="Total" dataDxfId="32" totalsRowDxfId="31"/>
    <tableColumn id="3" xr3:uid="{F39AF6C5-84DD-1E49-97AC-FD2EFA38B17B}" name="Jakso 1" dataDxfId="30" totalsRowDxfId="29">
      <calculatedColumnFormula>SUM(Alkukassa_taulukko_3[Jakso 1],Kassaanmaksu_taulukko_3[[#Totals],[Jakso 1]])</calculatedColumnFormula>
    </tableColumn>
    <tableColumn id="4" xr3:uid="{1743D77F-9675-1B48-856D-B9B1345225E2}" name="Jakso 2" dataDxfId="28" totalsRowDxfId="27">
      <calculatedColumnFormula>SUM(Alkukassa_taulukko_3[Jakso 2],Kassaanmaksu_taulukko_3[[#Totals],[Jakso 2]])</calculatedColumnFormula>
    </tableColumn>
    <tableColumn id="5" xr3:uid="{8C2AC284-2F43-0B44-BF85-704FF421973D}" name="Jakso 3" dataDxfId="26" totalsRowDxfId="25">
      <calculatedColumnFormula>SUM(Alkukassa_taulukko_3[Jakso 3],Kassaanmaksu_taulukko_3[[#Totals],[Jakso 3]])</calculatedColumnFormula>
    </tableColumn>
    <tableColumn id="6" xr3:uid="{543C54D1-3265-ED48-916B-23FDB3932FD2}" name="Jakso 4" dataDxfId="24" totalsRowDxfId="23">
      <calculatedColumnFormula>SUM(Alkukassa_taulukko_3[Jakso 4],Kassaanmaksu_taulukko_3[[#Totals],[Jakso 4]])</calculatedColumnFormula>
    </tableColumn>
    <tableColumn id="7" xr3:uid="{1B5D4374-9914-D545-8306-5B6049F8FC71}" name="Jakso 5" dataDxfId="22" totalsRowDxfId="21">
      <calculatedColumnFormula>SUM(Alkukassa_taulukko_3[Jakso 5],Kassaanmaksu_taulukko_3[[#Totals],[Jakso 5]])</calculatedColumnFormula>
    </tableColumn>
    <tableColumn id="8" xr3:uid="{05E971C1-E3CC-A549-BACF-A01B4C04D0B3}" name="Jakso 6" dataDxfId="20" totalsRowDxfId="19">
      <calculatedColumnFormula>SUM(Alkukassa_taulukko_3[Jakso 6],Kassaanmaksu_taulukko_3[[#Totals],[Jakso 6]])</calculatedColumnFormula>
    </tableColumn>
    <tableColumn id="9" xr3:uid="{AFCFB52A-B72D-514F-9A4F-3E3CFB8FDC84}" name="Jakso 7" dataDxfId="18" totalsRowDxfId="17">
      <calculatedColumnFormula>SUM(Alkukassa_taulukko_3[Jakso 7],Kassaanmaksu_taulukko_3[[#Totals],[Jakso 7]])</calculatedColumnFormula>
    </tableColumn>
    <tableColumn id="10" xr3:uid="{1F351567-437E-7F4C-A2C5-41A727BC6643}" name="Jakso 8" dataDxfId="16" totalsRowDxfId="15">
      <calculatedColumnFormula>SUM(Alkukassa_taulukko_3[Jakso 8],Kassaanmaksu_taulukko_3[[#Totals],[Jakso 8]])</calculatedColumnFormula>
    </tableColumn>
    <tableColumn id="11" xr3:uid="{4D291E9F-90F2-FE4B-9BEC-AD54B465A51D}" name="Jakso 9" dataDxfId="14" totalsRowDxfId="13">
      <calculatedColumnFormula>SUM(Alkukassa_taulukko_3[Jakso 9],Kassaanmaksu_taulukko_3[[#Totals],[Jakso 9]])</calculatedColumnFormula>
    </tableColumn>
    <tableColumn id="12" xr3:uid="{55886F8C-446E-204E-B58C-1A2338CD1F40}" name="Jakso 10" dataDxfId="12" totalsRowDxfId="11">
      <calculatedColumnFormula>SUM(Alkukassa_taulukko_3[Jakso 10],Kassaanmaksu_taulukko_3[[#Totals],[Jakso 10]])</calculatedColumnFormula>
    </tableColumn>
    <tableColumn id="13" xr3:uid="{CFBAC12C-1E40-3548-8C89-C654CB310A75}" name="Jakso 11" dataDxfId="10" totalsRowDxfId="9">
      <calculatedColumnFormula>SUM(Alkukassa_taulukko_3[Jakso 11],Kassaanmaksu_taulukko_3[[#Totals],[Jakso 11]])</calculatedColumnFormula>
    </tableColumn>
    <tableColumn id="14" xr3:uid="{1D47247D-A192-964C-97B4-2DF82B913844}" name="Jakso 12" dataDxfId="8" totalsRowDxfId="7">
      <calculatedColumnFormula>SUM(Alkukassa_taulukko_3[Jakso 12],Kassaanmaksu_taulukko_3[[#Totals],[Jakso 12]])</calculatedColumnFormula>
    </tableColumn>
    <tableColumn id="15" xr3:uid="{3C3F7111-D7F5-CA48-A6E4-3544478A76F6}" name="Yhteensä" totalsRowFunction="sum" dataDxfId="6" totalsRowDxfId="5">
      <calculatedColumnFormula>SUM(Kassastamaksu_alv_taulukko_3[[#This Row],[Jakso 1]:[Jakso 12]])</calculatedColumnFormula>
    </tableColumn>
  </tableColumns>
  <tableStyleInfo name="Helsinki_taulukko_tyyli" showFirstColumn="1" showLastColumn="1" showRowStripes="1" showColumnStripes="0"/>
  <extLst>
    <ext xmlns:x14="http://schemas.microsoft.com/office/spreadsheetml/2009/9/main" uri="{504A1905-F514-4f6f-8877-14C23A59335A}">
      <x14:table altTextSummary="Ensimmäisen vuoden alkukassa ja tulot -taulukko"/>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9CADB9C-2D88-C040-AB64-993877FEAF60}" name="Ohjeet_rahoituslaskelmaan" displayName="Ohjeet_rahoituslaskelmaan" comment="Tarkemmat ohjeet tiettyjen solujen täyttämiseen rahoituslaskelma-välilehdellä." ref="A52:A57" totalsRowShown="0" headerRowDxfId="775" dataDxfId="773" headerRowBorderDxfId="774" tableBorderDxfId="772" totalsRowBorderDxfId="771">
  <autoFilter ref="A52:A57" xr:uid="{E9CADB9C-2D88-C040-AB64-993877FEAF60}">
    <filterColumn colId="0" hiddenButton="1"/>
  </autoFilter>
  <tableColumns count="1">
    <tableColumn id="1" xr3:uid="{CD47B5DC-F828-8B4F-B14E-709E3AAA8919}" name="Ohjeet rahoituslaskelmaan:" dataDxfId="770"/>
  </tableColumns>
  <tableStyleInfo name="Helsinki_taulukko_tyyli" showFirstColumn="0" showLastColumn="0" showRowStripes="0" showColumnStripes="0"/>
  <extLst>
    <ext xmlns:x14="http://schemas.microsoft.com/office/spreadsheetml/2009/9/main" uri="{504A1905-F514-4f6f-8877-14C23A59335A}">
      <x14:table altTextSummary="Ohjeet rahoituslaskelmaan"/>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A6FCE55-5C35-C643-A504-45F92E979C29}" name="Tavoitetulos_taulukko" displayName="Tavoitetulos_taulukko" comment="Kannattavuuslaskelman tavoitetulos ensimmäisellä puolella vuodella ja 1-3 vuoden sisällä." ref="A5:C12" headerRowDxfId="769" dataDxfId="767" totalsRowDxfId="765" headerRowBorderDxfId="768" tableBorderDxfId="766" totalsRowBorderDxfId="764">
  <autoFilter ref="A5:C12" xr:uid="{7A6FCE55-5C35-C643-A504-45F92E979C29}">
    <filterColumn colId="0" hiddenButton="1"/>
    <filterColumn colId="1" hiddenButton="1"/>
    <filterColumn colId="2" hiddenButton="1"/>
  </autoFilter>
  <tableColumns count="3">
    <tableColumn id="1" xr3:uid="{38C68C15-9D64-E144-90AB-284B3348943A}" name="Tavoitetulos" totalsRowLabel="Total" dataDxfId="763"/>
    <tableColumn id="4" xr3:uid="{5653B8D0-2C66-A649-9C32-FD76156654D6}" name="Kuukaudessa" dataDxfId="762"/>
    <tableColumn id="5" xr3:uid="{6B8801B9-C3EC-DE4D-9978-02D5021D89DF}" name="Vuodessa (12 kk)" totalsRowFunction="sum" dataDxfId="761"/>
  </tableColumns>
  <tableStyleInfo name="Helsinki_taulukko_tyyli" showFirstColumn="1" showLastColumn="0" showRowStripes="0" showColumnStripes="0"/>
  <extLst>
    <ext xmlns:x14="http://schemas.microsoft.com/office/spreadsheetml/2009/9/main" uri="{504A1905-F514-4f6f-8877-14C23A59335A}">
      <x14:table altTextSummary="Tavoitetulos -taulukko"/>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CBC8DE5-4FDC-CB40-9ED0-984DCFC61F86}" name="Kiinteät_kulut_taulukko" displayName="Kiinteät_kulut_taulukko" comment="Kannattavuuslaskelman kiinteät kulut (ilman alv) ensimmäisellä puolella vuodella ja 1-3 vuoden sisällä." ref="A13:C33" totalsRowShown="0" headerRowDxfId="760" dataDxfId="758" headerRowBorderDxfId="759" tableBorderDxfId="757" totalsRowBorderDxfId="756">
  <autoFilter ref="A13:C33" xr:uid="{FCBC8DE5-4FDC-CB40-9ED0-984DCFC61F86}">
    <filterColumn colId="0" hiddenButton="1"/>
    <filterColumn colId="1" hiddenButton="1"/>
    <filterColumn colId="2" hiddenButton="1"/>
  </autoFilter>
  <tableColumns count="3">
    <tableColumn id="1" xr3:uid="{851A68FC-A92B-B94E-8643-45F91EDE65FB}" name="Yritystoiminnan kiinteät kulut (ilman arvonlisäveroa)" dataDxfId="755"/>
    <tableColumn id="4" xr3:uid="{5E61CACF-432B-0E43-8609-3B0ADBB7814B}" name="Kuukaudessa" dataDxfId="754"/>
    <tableColumn id="5" xr3:uid="{52F8FD8D-CDE2-7F4D-8B24-F81AB9F36DE9}" name="Vuodessa (12 kk)" dataDxfId="753"/>
  </tableColumns>
  <tableStyleInfo name="Helsinki_taulukko_tyyli" showFirstColumn="1" showLastColumn="0" showRowStripes="0" showColumnStripes="0"/>
  <extLst>
    <ext xmlns:x14="http://schemas.microsoft.com/office/spreadsheetml/2009/9/main" uri="{504A1905-F514-4f6f-8877-14C23A59335A}">
      <x14:table altTextSummary="Yritystoiminnan kiinteät kulut -taulukko"/>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D00DC61-E70C-C54A-9C8E-6D313A028C11}" name="Myyntikatetarve_taulukko" displayName="Myyntikatetarve_taulukko" comment="Kannattavuuslaskelman myyntikatetarve ensimmäisellä puolella vuodella ja 1-3 vuoden sisällä." ref="A34:C37" headerRowDxfId="752" dataDxfId="750" totalsRowDxfId="748" headerRowBorderDxfId="751" tableBorderDxfId="749" totalsRowBorderDxfId="747">
  <autoFilter ref="A34:C37" xr:uid="{BD00DC61-E70C-C54A-9C8E-6D313A028C11}">
    <filterColumn colId="0" hiddenButton="1"/>
    <filterColumn colId="1" hiddenButton="1"/>
    <filterColumn colId="2" hiddenButton="1"/>
  </autoFilter>
  <tableColumns count="3">
    <tableColumn id="1" xr3:uid="{67D1C0D4-8178-854F-94F3-E055A5983155}" name="Myyntikatetarve (tavoitetulos ja kiinteät kulut yhteensä)" totalsRowLabel="Total" dataDxfId="746"/>
    <tableColumn id="4" xr3:uid="{07F973AA-9A79-6F4F-85C2-5C922602985C}" name="Kuukaudessa" dataDxfId="745"/>
    <tableColumn id="5" xr3:uid="{986A3455-6F01-7B4E-910B-0D71358D06BC}" name="Vuodessa (12 kk)" totalsRowFunction="sum" dataDxfId="744"/>
  </tableColumns>
  <tableStyleInfo name="Helsinki_taulukko_tyyli" showFirstColumn="1" showLastColumn="0" showRowStripes="0" showColumnStripes="0"/>
  <extLst>
    <ext xmlns:x14="http://schemas.microsoft.com/office/spreadsheetml/2009/9/main" uri="{504A1905-F514-4f6f-8877-14C23A59335A}">
      <x14:table altTextSummary="Myyntikatetarve -taulukko"/>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B9F9A50-7057-014A-9DA1-72291C537B5F}" name="Kolmen_vuoden_tuloslaskelma_taulukko" displayName="Kolmen_vuoden_tuloslaskelma_taulukko" comment="Kannattavuuslaskelman kolmen vuoden tuloslaskelma." ref="A46:D61" headerRowDxfId="743" dataDxfId="741" totalsRowDxfId="739" headerRowBorderDxfId="742" tableBorderDxfId="740" totalsRowBorderDxfId="738">
  <autoFilter ref="A46:D61" xr:uid="{1B9F9A50-7057-014A-9DA1-72291C537B5F}">
    <filterColumn colId="0" hiddenButton="1"/>
    <filterColumn colId="1" hiddenButton="1"/>
    <filterColumn colId="2" hiddenButton="1"/>
    <filterColumn colId="3" hiddenButton="1"/>
  </autoFilter>
  <tableColumns count="4">
    <tableColumn id="1" xr3:uid="{5BBB8ED4-16FA-3442-BCCC-C78E5F245C22}" name="Kolmen vuoden tuloslaskelma" totalsRowLabel="Total" dataDxfId="737"/>
    <tableColumn id="2" xr3:uid="{44807215-9A09-0748-A08B-10EAEBCBE86E}" name="vuosi +1" dataDxfId="736"/>
    <tableColumn id="3" xr3:uid="{3E45B337-5143-9C4C-9795-B17F9273B046}" name="vuosi +2" dataDxfId="735"/>
    <tableColumn id="4" xr3:uid="{243898B3-5CBD-7040-8C2A-4CE02F4A744F}" name="vuosi +3" totalsRowFunction="sum" dataDxfId="734"/>
  </tableColumns>
  <tableStyleInfo name="Helsinki_taulukko_tyyli" showFirstColumn="1" showLastColumn="0" showRowStripes="1" showColumnStripes="0"/>
  <extLst>
    <ext xmlns:x14="http://schemas.microsoft.com/office/spreadsheetml/2009/9/main" uri="{504A1905-F514-4f6f-8877-14C23A59335A}">
      <x14:table altTextSummary="Kolmen vuoden tuloslaskelma -taulukko"/>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49ED3CF-6461-2C4C-86D5-F5F66013FFD3}" name="Laskutustavoite_taulukko" displayName="Laskutustavoite_taulukko" comment="Kannattavuuslaskelman laskutustavoite ensimmäisellä puolella vuodella ja 1-3 vuoden sisällä." ref="A38:C42" totalsRowShown="0" headerRowDxfId="733" dataDxfId="731" headerRowBorderDxfId="732" tableBorderDxfId="730" totalsRowBorderDxfId="729">
  <autoFilter ref="A38:C42" xr:uid="{B49ED3CF-6461-2C4C-86D5-F5F66013FFD3}">
    <filterColumn colId="0" hiddenButton="1"/>
    <filterColumn colId="1" hiddenButton="1"/>
    <filterColumn colId="2" hiddenButton="1"/>
  </autoFilter>
  <tableColumns count="3">
    <tableColumn id="1" xr3:uid="{55A67C48-E109-D74A-AB25-26EB86F2FF76}" name="Myyntikatetarve (minimi)" dataDxfId="728"/>
    <tableColumn id="3" xr3:uid="{4A2EFDFD-74DF-F042-A1D9-B7D8A6AF7987}" name="Veroton vuodessa" dataDxfId="727"/>
    <tableColumn id="4" xr3:uid="{A2C91E1B-CC3D-0F46-8950-2C625522099E}" name="Sisältää arvonlisäveron" dataDxfId="726"/>
  </tableColumns>
  <tableStyleInfo name="Helsinki_taulukko_tyyli" showFirstColumn="1" showLastColumn="0" showRowStripes="0" showColumnStripes="0"/>
  <extLst>
    <ext xmlns:x14="http://schemas.microsoft.com/office/spreadsheetml/2009/9/main" uri="{504A1905-F514-4f6f-8877-14C23A59335A}">
      <x14:table altTextSummary="Laskutustavoite -taulukko"/>
    </ext>
  </extLst>
</table>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117DFDA1-056B-4544-B750-72CB3E213EE0}">
  <we:reference id="df76232d-21a6-4463-9d19-0518ac5aab5d" version="1.1.0.0" store="EXCatalog" storeType="EXCatalog"/>
  <we:alternateReferences>
    <we:reference id="WA200000556" version="1.1.0.0" store="" storeType="OMEX"/>
  </we:alternateReferences>
  <we:properties>
    <we:property name="Office.AutoShowTaskpaneWithDocument" value="true"/>
    <we:property name="documentId" value="&quot;faf5d975-0b05-41bd-b279-7713bf4144c8&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vmlDrawing" Target="../drawings/vmlDrawing2.vml"/><Relationship Id="rId7" Type="http://schemas.openxmlformats.org/officeDocument/2006/relationships/table" Target="../tables/table8.xml"/><Relationship Id="rId2" Type="http://schemas.openxmlformats.org/officeDocument/2006/relationships/drawing" Target="../drawings/drawing2.xml"/><Relationship Id="rId1" Type="http://schemas.openxmlformats.org/officeDocument/2006/relationships/hyperlink" Target="https://www.vero.fi/henkiloasiakkaat/verokortti-ja-veroilmoitus/verokortti/veroprosenttilaskuri/" TargetMode="External"/><Relationship Id="rId6" Type="http://schemas.openxmlformats.org/officeDocument/2006/relationships/table" Target="../tables/table7.xml"/><Relationship Id="rId11" Type="http://schemas.openxmlformats.org/officeDocument/2006/relationships/comments" Target="../comments2.xml"/><Relationship Id="rId5" Type="http://schemas.openxmlformats.org/officeDocument/2006/relationships/table" Target="../tables/table6.xml"/><Relationship Id="rId10" Type="http://schemas.openxmlformats.org/officeDocument/2006/relationships/table" Target="../tables/table11.xml"/><Relationship Id="rId4" Type="http://schemas.openxmlformats.org/officeDocument/2006/relationships/table" Target="../tables/table5.xml"/><Relationship Id="rId9" Type="http://schemas.openxmlformats.org/officeDocument/2006/relationships/table" Target="../tables/table10.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vmlDrawing" Target="../drawings/vmlDrawing3.vml"/><Relationship Id="rId1" Type="http://schemas.openxmlformats.org/officeDocument/2006/relationships/drawing" Target="../drawings/drawing3.xml"/><Relationship Id="rId6" Type="http://schemas.openxmlformats.org/officeDocument/2006/relationships/comments" Target="../comments3.xml"/><Relationship Id="rId5" Type="http://schemas.openxmlformats.org/officeDocument/2006/relationships/table" Target="../tables/table14.xml"/><Relationship Id="rId4" Type="http://schemas.openxmlformats.org/officeDocument/2006/relationships/table" Target="../tables/table13.xml"/></Relationships>
</file>

<file path=xl/worksheets/_rels/sheet4.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vmlDrawing" Target="../drawings/vmlDrawing4.vml"/><Relationship Id="rId1" Type="http://schemas.openxmlformats.org/officeDocument/2006/relationships/drawing" Target="../drawings/drawing4.xml"/><Relationship Id="rId6" Type="http://schemas.openxmlformats.org/officeDocument/2006/relationships/table" Target="../tables/table18.xml"/><Relationship Id="rId11" Type="http://schemas.openxmlformats.org/officeDocument/2006/relationships/comments" Target="../comments4.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5.xml.rels><?xml version="1.0" encoding="UTF-8" standalone="yes"?>
<Relationships xmlns="http://schemas.openxmlformats.org/package/2006/relationships"><Relationship Id="rId8" Type="http://schemas.openxmlformats.org/officeDocument/2006/relationships/table" Target="../tables/table28.xml"/><Relationship Id="rId3" Type="http://schemas.openxmlformats.org/officeDocument/2006/relationships/table" Target="../tables/table23.xml"/><Relationship Id="rId7" Type="http://schemas.openxmlformats.org/officeDocument/2006/relationships/table" Target="../tables/table27.xml"/><Relationship Id="rId2" Type="http://schemas.openxmlformats.org/officeDocument/2006/relationships/vmlDrawing" Target="../drawings/vmlDrawing5.vml"/><Relationship Id="rId1" Type="http://schemas.openxmlformats.org/officeDocument/2006/relationships/drawing" Target="../drawings/drawing5.xml"/><Relationship Id="rId6" Type="http://schemas.openxmlformats.org/officeDocument/2006/relationships/table" Target="../tables/table26.xml"/><Relationship Id="rId11" Type="http://schemas.openxmlformats.org/officeDocument/2006/relationships/comments" Target="../comments5.xml"/><Relationship Id="rId5" Type="http://schemas.openxmlformats.org/officeDocument/2006/relationships/table" Target="../tables/table25.xml"/><Relationship Id="rId10" Type="http://schemas.openxmlformats.org/officeDocument/2006/relationships/table" Target="../tables/table30.xml"/><Relationship Id="rId4" Type="http://schemas.openxmlformats.org/officeDocument/2006/relationships/table" Target="../tables/table24.xml"/><Relationship Id="rId9" Type="http://schemas.openxmlformats.org/officeDocument/2006/relationships/table" Target="../tables/table29.xml"/></Relationships>
</file>

<file path=xl/worksheets/_rels/sheet6.xml.rels><?xml version="1.0" encoding="UTF-8" standalone="yes"?>
<Relationships xmlns="http://schemas.openxmlformats.org/package/2006/relationships"><Relationship Id="rId8" Type="http://schemas.openxmlformats.org/officeDocument/2006/relationships/table" Target="../tables/table36.xml"/><Relationship Id="rId3" Type="http://schemas.openxmlformats.org/officeDocument/2006/relationships/table" Target="../tables/table31.xml"/><Relationship Id="rId7" Type="http://schemas.openxmlformats.org/officeDocument/2006/relationships/table" Target="../tables/table35.xml"/><Relationship Id="rId2" Type="http://schemas.openxmlformats.org/officeDocument/2006/relationships/vmlDrawing" Target="../drawings/vmlDrawing6.vml"/><Relationship Id="rId1" Type="http://schemas.openxmlformats.org/officeDocument/2006/relationships/drawing" Target="../drawings/drawing6.xml"/><Relationship Id="rId6" Type="http://schemas.openxmlformats.org/officeDocument/2006/relationships/table" Target="../tables/table34.xml"/><Relationship Id="rId11" Type="http://schemas.openxmlformats.org/officeDocument/2006/relationships/comments" Target="../comments6.xml"/><Relationship Id="rId5" Type="http://schemas.openxmlformats.org/officeDocument/2006/relationships/table" Target="../tables/table33.xml"/><Relationship Id="rId10" Type="http://schemas.openxmlformats.org/officeDocument/2006/relationships/table" Target="../tables/table38.xml"/><Relationship Id="rId4" Type="http://schemas.openxmlformats.org/officeDocument/2006/relationships/table" Target="../tables/table32.xml"/><Relationship Id="rId9" Type="http://schemas.openxmlformats.org/officeDocument/2006/relationships/table" Target="../tables/table3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6F788-AEE9-1247-88AF-6AEBE226BAC3}">
  <dimension ref="A1:N63"/>
  <sheetViews>
    <sheetView tabSelected="1" workbookViewId="0">
      <selection activeCell="F7" sqref="F7"/>
    </sheetView>
  </sheetViews>
  <sheetFormatPr defaultColWidth="10.875" defaultRowHeight="18" x14ac:dyDescent="0.25"/>
  <cols>
    <col min="1" max="1" width="58.375" style="7" customWidth="1"/>
    <col min="2" max="2" width="23.875" style="2" customWidth="1"/>
    <col min="3" max="3" width="56.375" style="2" customWidth="1"/>
    <col min="4" max="4" width="0.625" style="2" customWidth="1"/>
    <col min="5" max="6" width="10.875" style="2"/>
    <col min="7" max="7" width="10.875" style="2" customWidth="1"/>
    <col min="8" max="16384" width="10.875" style="2"/>
  </cols>
  <sheetData>
    <row r="1" spans="1:8" ht="60" customHeight="1" x14ac:dyDescent="0.25">
      <c r="A1" s="55" t="s">
        <v>176</v>
      </c>
      <c r="B1" s="4" t="s">
        <v>64</v>
      </c>
      <c r="C1" s="4" t="s">
        <v>64</v>
      </c>
      <c r="D1" s="55" t="s">
        <v>65</v>
      </c>
      <c r="E1" s="5"/>
      <c r="F1" s="5"/>
    </row>
    <row r="2" spans="1:8" ht="30" customHeight="1" x14ac:dyDescent="0.25">
      <c r="A2" s="3" t="s">
        <v>106</v>
      </c>
      <c r="B2" s="4" t="s">
        <v>64</v>
      </c>
      <c r="C2" s="4" t="s">
        <v>64</v>
      </c>
      <c r="D2" s="55" t="s">
        <v>65</v>
      </c>
      <c r="E2" s="5"/>
      <c r="F2" s="5"/>
    </row>
    <row r="3" spans="1:8" ht="144.94999999999999" customHeight="1" x14ac:dyDescent="0.25">
      <c r="A3" s="7" t="s">
        <v>174</v>
      </c>
      <c r="B3" s="4" t="s">
        <v>64</v>
      </c>
      <c r="C3" s="4" t="s">
        <v>64</v>
      </c>
      <c r="D3" s="55" t="s">
        <v>65</v>
      </c>
      <c r="E3" s="5"/>
      <c r="F3" s="5"/>
    </row>
    <row r="4" spans="1:8" ht="20.100000000000001" customHeight="1" x14ac:dyDescent="0.25">
      <c r="A4" s="6" t="s">
        <v>172</v>
      </c>
      <c r="B4" s="4" t="s">
        <v>64</v>
      </c>
      <c r="C4" s="4" t="s">
        <v>64</v>
      </c>
      <c r="D4" s="55" t="s">
        <v>65</v>
      </c>
      <c r="E4" s="5"/>
      <c r="F4" s="5"/>
      <c r="G4" s="5"/>
    </row>
    <row r="5" spans="1:8" ht="45" customHeight="1" x14ac:dyDescent="0.25">
      <c r="A5" s="61" t="s">
        <v>173</v>
      </c>
      <c r="B5" s="4" t="s">
        <v>64</v>
      </c>
      <c r="C5" s="4" t="s">
        <v>64</v>
      </c>
      <c r="D5" s="55" t="s">
        <v>65</v>
      </c>
      <c r="E5" s="5"/>
      <c r="F5" s="5"/>
      <c r="G5" s="5"/>
    </row>
    <row r="6" spans="1:8" ht="44.1" customHeight="1" x14ac:dyDescent="0.25">
      <c r="A6" s="7" t="s">
        <v>0</v>
      </c>
      <c r="B6" s="4" t="s">
        <v>64</v>
      </c>
      <c r="C6" s="4" t="s">
        <v>64</v>
      </c>
      <c r="D6" s="55" t="s">
        <v>65</v>
      </c>
      <c r="E6" s="5"/>
      <c r="F6" s="5"/>
    </row>
    <row r="7" spans="1:8" ht="44.1" customHeight="1" x14ac:dyDescent="0.25">
      <c r="A7" s="7" t="s">
        <v>1</v>
      </c>
      <c r="B7" s="4" t="s">
        <v>64</v>
      </c>
      <c r="C7" s="4" t="s">
        <v>64</v>
      </c>
      <c r="D7" s="55" t="s">
        <v>65</v>
      </c>
      <c r="E7" s="5"/>
      <c r="F7" s="5"/>
      <c r="G7" s="5"/>
    </row>
    <row r="8" spans="1:8" ht="44.1" customHeight="1" x14ac:dyDescent="0.25">
      <c r="A8" s="7" t="s">
        <v>2</v>
      </c>
      <c r="B8" s="4" t="s">
        <v>64</v>
      </c>
      <c r="C8" s="4" t="s">
        <v>64</v>
      </c>
      <c r="D8" s="55" t="s">
        <v>65</v>
      </c>
      <c r="E8" s="5"/>
      <c r="F8" s="5"/>
      <c r="G8" s="5"/>
    </row>
    <row r="9" spans="1:8" ht="44.1" customHeight="1" x14ac:dyDescent="0.25">
      <c r="A9" s="7" t="s">
        <v>3</v>
      </c>
      <c r="B9" s="4" t="s">
        <v>64</v>
      </c>
      <c r="C9" s="4" t="s">
        <v>64</v>
      </c>
      <c r="D9" s="55" t="s">
        <v>65</v>
      </c>
      <c r="E9" s="5"/>
      <c r="F9" s="5"/>
      <c r="G9" s="5"/>
    </row>
    <row r="10" spans="1:8" ht="30" customHeight="1" x14ac:dyDescent="0.25">
      <c r="A10" s="8" t="s">
        <v>68</v>
      </c>
      <c r="B10" s="27" t="s">
        <v>5</v>
      </c>
      <c r="C10" s="9" t="s">
        <v>110</v>
      </c>
      <c r="D10" s="55" t="s">
        <v>65</v>
      </c>
      <c r="E10" s="5"/>
      <c r="F10" s="5"/>
      <c r="G10" s="5"/>
      <c r="H10" s="5"/>
    </row>
    <row r="11" spans="1:8" ht="20.100000000000001" customHeight="1" x14ac:dyDescent="0.25">
      <c r="A11" s="86" t="s">
        <v>69</v>
      </c>
      <c r="B11" s="29" t="s">
        <v>64</v>
      </c>
      <c r="C11" s="30"/>
      <c r="D11" s="55" t="s">
        <v>65</v>
      </c>
      <c r="E11" s="5"/>
      <c r="F11" s="5"/>
      <c r="G11" s="5"/>
      <c r="H11" s="5"/>
    </row>
    <row r="12" spans="1:8" ht="20.100000000000001" customHeight="1" x14ac:dyDescent="0.25">
      <c r="A12" s="24" t="s">
        <v>235</v>
      </c>
      <c r="B12" s="112"/>
      <c r="C12" s="88"/>
      <c r="D12" s="55" t="s">
        <v>65</v>
      </c>
      <c r="E12" s="5"/>
      <c r="F12" s="5"/>
      <c r="G12" s="5"/>
      <c r="H12" s="5"/>
    </row>
    <row r="13" spans="1:8" ht="20.100000000000001" customHeight="1" x14ac:dyDescent="0.25">
      <c r="A13" s="24" t="s">
        <v>236</v>
      </c>
      <c r="B13" s="112"/>
      <c r="C13" s="88"/>
      <c r="D13" s="55" t="s">
        <v>65</v>
      </c>
      <c r="E13" s="5"/>
      <c r="F13" s="5"/>
      <c r="G13" s="5"/>
      <c r="H13" s="5"/>
    </row>
    <row r="14" spans="1:8" ht="20.100000000000001" customHeight="1" x14ac:dyDescent="0.25">
      <c r="A14" s="24" t="s">
        <v>237</v>
      </c>
      <c r="B14" s="112"/>
      <c r="C14" s="88"/>
      <c r="D14" s="55" t="s">
        <v>65</v>
      </c>
      <c r="E14" s="5"/>
      <c r="F14" s="5"/>
      <c r="G14" s="5"/>
      <c r="H14" s="5"/>
    </row>
    <row r="15" spans="1:8" ht="20.100000000000001" customHeight="1" x14ac:dyDescent="0.25">
      <c r="A15" s="24" t="s">
        <v>257</v>
      </c>
      <c r="B15" s="112"/>
      <c r="C15" s="88"/>
      <c r="D15" s="55" t="s">
        <v>65</v>
      </c>
      <c r="E15" s="5"/>
      <c r="F15" s="5"/>
      <c r="G15" s="5"/>
      <c r="H15" s="5"/>
    </row>
    <row r="16" spans="1:8" ht="20.100000000000001" customHeight="1" x14ac:dyDescent="0.25">
      <c r="A16" s="24" t="s">
        <v>238</v>
      </c>
      <c r="B16" s="112"/>
      <c r="C16" s="88"/>
      <c r="D16" s="55" t="s">
        <v>65</v>
      </c>
      <c r="E16" s="5"/>
      <c r="F16" s="5"/>
      <c r="G16" s="5"/>
      <c r="H16" s="5"/>
    </row>
    <row r="17" spans="1:8" ht="20.100000000000001" customHeight="1" x14ac:dyDescent="0.25">
      <c r="A17" s="24" t="s">
        <v>150</v>
      </c>
      <c r="B17" s="112"/>
      <c r="C17" s="88"/>
      <c r="D17" s="55" t="s">
        <v>65</v>
      </c>
      <c r="E17" s="5"/>
      <c r="F17" s="5"/>
      <c r="G17" s="5"/>
      <c r="H17" s="5"/>
    </row>
    <row r="18" spans="1:8" ht="20.100000000000001" customHeight="1" x14ac:dyDescent="0.25">
      <c r="A18" s="24" t="s">
        <v>151</v>
      </c>
      <c r="B18" s="112"/>
      <c r="C18" s="88"/>
      <c r="D18" s="55" t="s">
        <v>65</v>
      </c>
      <c r="E18" s="5"/>
      <c r="F18" s="5"/>
      <c r="G18" s="5"/>
      <c r="H18" s="5"/>
    </row>
    <row r="19" spans="1:8" ht="20.100000000000001" customHeight="1" x14ac:dyDescent="0.25">
      <c r="A19" s="24" t="s">
        <v>152</v>
      </c>
      <c r="B19" s="112"/>
      <c r="C19" s="88"/>
      <c r="D19" s="55" t="s">
        <v>65</v>
      </c>
      <c r="E19" s="5"/>
      <c r="F19" s="5"/>
      <c r="G19" s="5"/>
      <c r="H19" s="5"/>
    </row>
    <row r="20" spans="1:8" ht="20.100000000000001" customHeight="1" x14ac:dyDescent="0.25">
      <c r="A20" s="24" t="s">
        <v>239</v>
      </c>
      <c r="B20" s="112"/>
      <c r="C20" s="88"/>
      <c r="D20" s="55" t="s">
        <v>65</v>
      </c>
      <c r="E20" s="5"/>
      <c r="F20" s="5"/>
      <c r="G20" s="5"/>
      <c r="H20" s="5"/>
    </row>
    <row r="21" spans="1:8" ht="20.100000000000001" customHeight="1" x14ac:dyDescent="0.25">
      <c r="A21" s="24" t="s">
        <v>240</v>
      </c>
      <c r="B21" s="112"/>
      <c r="C21" s="88"/>
      <c r="D21" s="55" t="s">
        <v>65</v>
      </c>
      <c r="E21" s="5"/>
      <c r="F21" s="5"/>
      <c r="G21" s="5"/>
      <c r="H21" s="5"/>
    </row>
    <row r="22" spans="1:8" ht="20.100000000000001" customHeight="1" x14ac:dyDescent="0.25">
      <c r="A22" s="24" t="s">
        <v>258</v>
      </c>
      <c r="B22" s="112"/>
      <c r="C22" s="88"/>
      <c r="D22" s="55" t="s">
        <v>65</v>
      </c>
      <c r="E22" s="5"/>
      <c r="F22" s="5"/>
      <c r="G22" s="5"/>
      <c r="H22" s="5"/>
    </row>
    <row r="23" spans="1:8" ht="20.100000000000001" customHeight="1" x14ac:dyDescent="0.25">
      <c r="A23" s="24" t="s">
        <v>153</v>
      </c>
      <c r="B23" s="112"/>
      <c r="C23" s="88"/>
      <c r="D23" s="55" t="s">
        <v>65</v>
      </c>
      <c r="E23" s="5"/>
      <c r="F23" s="5"/>
      <c r="G23" s="5"/>
      <c r="H23" s="5"/>
    </row>
    <row r="24" spans="1:8" ht="20.100000000000001" customHeight="1" x14ac:dyDescent="0.25">
      <c r="A24" s="24" t="s">
        <v>154</v>
      </c>
      <c r="B24" s="112"/>
      <c r="C24" s="88"/>
      <c r="D24" s="55" t="s">
        <v>65</v>
      </c>
      <c r="E24" s="5"/>
      <c r="F24" s="5"/>
      <c r="G24" s="5"/>
      <c r="H24" s="5"/>
    </row>
    <row r="25" spans="1:8" ht="20.100000000000001" customHeight="1" x14ac:dyDescent="0.25">
      <c r="A25" s="87" t="s">
        <v>70</v>
      </c>
      <c r="B25" s="114" t="s">
        <v>64</v>
      </c>
      <c r="C25" s="31"/>
      <c r="D25" s="55" t="s">
        <v>65</v>
      </c>
      <c r="E25" s="5"/>
      <c r="F25" s="5"/>
      <c r="G25" s="5"/>
      <c r="H25" s="5"/>
    </row>
    <row r="26" spans="1:8" ht="20.100000000000001" customHeight="1" x14ac:dyDescent="0.25">
      <c r="A26" s="24" t="s">
        <v>155</v>
      </c>
      <c r="B26" s="112"/>
      <c r="C26" s="88"/>
      <c r="D26" s="55" t="s">
        <v>65</v>
      </c>
      <c r="E26" s="5"/>
      <c r="F26" s="5"/>
      <c r="G26" s="5"/>
      <c r="H26" s="5"/>
    </row>
    <row r="27" spans="1:8" ht="20.100000000000001" customHeight="1" x14ac:dyDescent="0.25">
      <c r="A27" s="24" t="s">
        <v>156</v>
      </c>
      <c r="B27" s="112"/>
      <c r="C27" s="88"/>
      <c r="D27" s="55" t="s">
        <v>65</v>
      </c>
      <c r="E27" s="5"/>
      <c r="F27" s="5"/>
      <c r="G27" s="5"/>
      <c r="H27" s="5"/>
    </row>
    <row r="28" spans="1:8" ht="20.100000000000001" customHeight="1" x14ac:dyDescent="0.25">
      <c r="A28" s="24" t="s">
        <v>157</v>
      </c>
      <c r="B28" s="112"/>
      <c r="C28" s="88"/>
      <c r="D28" s="55" t="s">
        <v>65</v>
      </c>
      <c r="E28" s="5"/>
      <c r="F28" s="5"/>
      <c r="G28" s="5"/>
      <c r="H28" s="5"/>
    </row>
    <row r="29" spans="1:8" ht="20.100000000000001" customHeight="1" x14ac:dyDescent="0.25">
      <c r="A29" s="24" t="s">
        <v>158</v>
      </c>
      <c r="B29" s="112"/>
      <c r="C29" s="88"/>
      <c r="D29" s="55" t="s">
        <v>65</v>
      </c>
      <c r="E29" s="5"/>
      <c r="F29" s="5"/>
      <c r="G29" s="5"/>
      <c r="H29" s="5"/>
    </row>
    <row r="30" spans="1:8" ht="20.100000000000001" customHeight="1" x14ac:dyDescent="0.25">
      <c r="A30" s="24" t="s">
        <v>159</v>
      </c>
      <c r="B30" s="112"/>
      <c r="C30" s="88"/>
      <c r="D30" s="55" t="s">
        <v>65</v>
      </c>
      <c r="E30" s="5"/>
      <c r="F30" s="5"/>
      <c r="G30" s="5"/>
      <c r="H30" s="5"/>
    </row>
    <row r="31" spans="1:8" ht="20.100000000000001" customHeight="1" x14ac:dyDescent="0.25">
      <c r="A31" s="87" t="s">
        <v>71</v>
      </c>
      <c r="B31" s="114" t="s">
        <v>64</v>
      </c>
      <c r="C31" s="31"/>
      <c r="D31" s="55" t="s">
        <v>65</v>
      </c>
      <c r="E31" s="5"/>
      <c r="F31" s="5"/>
      <c r="G31" s="5"/>
      <c r="H31" s="5"/>
    </row>
    <row r="32" spans="1:8" ht="20.100000000000001" customHeight="1" x14ac:dyDescent="0.25">
      <c r="A32" s="24" t="s">
        <v>160</v>
      </c>
      <c r="B32" s="112"/>
      <c r="C32" s="88"/>
      <c r="D32" s="55" t="s">
        <v>65</v>
      </c>
      <c r="E32" s="5"/>
      <c r="F32" s="5"/>
      <c r="G32" s="5"/>
      <c r="H32" s="5"/>
    </row>
    <row r="33" spans="1:10" ht="20.100000000000001" customHeight="1" x14ac:dyDescent="0.25">
      <c r="A33" s="24" t="s">
        <v>161</v>
      </c>
      <c r="B33" s="112"/>
      <c r="C33" s="88"/>
      <c r="D33" s="55" t="s">
        <v>65</v>
      </c>
      <c r="E33" s="5"/>
      <c r="F33" s="5"/>
      <c r="G33" s="5"/>
      <c r="H33" s="5"/>
    </row>
    <row r="34" spans="1:10" ht="20.100000000000001" customHeight="1" thickBot="1" x14ac:dyDescent="0.3">
      <c r="A34" s="32" t="s">
        <v>162</v>
      </c>
      <c r="B34" s="113"/>
      <c r="C34" s="89"/>
      <c r="D34" s="55" t="s">
        <v>65</v>
      </c>
      <c r="E34" s="5"/>
      <c r="F34" s="5"/>
      <c r="G34" s="5"/>
      <c r="H34" s="5"/>
    </row>
    <row r="35" spans="1:10" ht="30" customHeight="1" x14ac:dyDescent="0.25">
      <c r="A35" s="33" t="s">
        <v>72</v>
      </c>
      <c r="B35" s="207">
        <f>SUBTOTAL(109,Rahan_tarve_taulukko[€])</f>
        <v>0</v>
      </c>
      <c r="C35" s="206"/>
      <c r="D35" s="55" t="s">
        <v>65</v>
      </c>
      <c r="E35" s="5"/>
      <c r="F35" s="5"/>
      <c r="G35" s="5"/>
      <c r="H35" s="5"/>
    </row>
    <row r="36" spans="1:10" ht="30" customHeight="1" x14ac:dyDescent="0.25">
      <c r="A36" s="8" t="s">
        <v>73</v>
      </c>
      <c r="B36" s="27" t="s">
        <v>5</v>
      </c>
      <c r="C36" s="9" t="s">
        <v>110</v>
      </c>
      <c r="D36" s="55" t="s">
        <v>65</v>
      </c>
      <c r="E36" s="5"/>
      <c r="F36" s="5"/>
      <c r="G36" s="5"/>
      <c r="H36" s="5"/>
      <c r="J36" s="34"/>
    </row>
    <row r="37" spans="1:10" ht="20.100000000000001" customHeight="1" x14ac:dyDescent="0.25">
      <c r="A37" s="86" t="s">
        <v>74</v>
      </c>
      <c r="B37" s="29" t="s">
        <v>64</v>
      </c>
      <c r="C37" s="30"/>
      <c r="D37" s="55" t="s">
        <v>65</v>
      </c>
      <c r="E37" s="5"/>
      <c r="F37" s="5"/>
      <c r="G37" s="5"/>
      <c r="H37" s="5"/>
    </row>
    <row r="38" spans="1:10" ht="20.100000000000001" customHeight="1" x14ac:dyDescent="0.25">
      <c r="A38" s="24" t="s">
        <v>257</v>
      </c>
      <c r="B38" s="115">
        <f>B15</f>
        <v>0</v>
      </c>
      <c r="C38" s="90"/>
      <c r="D38" s="55" t="s">
        <v>65</v>
      </c>
      <c r="E38" s="5"/>
      <c r="F38" s="5"/>
      <c r="G38" s="5"/>
      <c r="H38" s="5"/>
    </row>
    <row r="39" spans="1:10" ht="20.100000000000001" customHeight="1" x14ac:dyDescent="0.25">
      <c r="A39" s="24" t="s">
        <v>163</v>
      </c>
      <c r="B39" s="112"/>
      <c r="C39" s="90"/>
      <c r="D39" s="55" t="s">
        <v>65</v>
      </c>
      <c r="E39" s="5"/>
      <c r="F39" s="5"/>
      <c r="G39" s="5"/>
      <c r="H39" s="5"/>
    </row>
    <row r="40" spans="1:10" ht="20.100000000000001" customHeight="1" x14ac:dyDescent="0.25">
      <c r="A40" s="24" t="s">
        <v>164</v>
      </c>
      <c r="B40" s="112"/>
      <c r="C40" s="90"/>
      <c r="D40" s="55" t="s">
        <v>65</v>
      </c>
      <c r="E40" s="5"/>
      <c r="F40" s="5"/>
      <c r="G40" s="5"/>
      <c r="H40" s="5"/>
    </row>
    <row r="41" spans="1:10" ht="20.100000000000001" customHeight="1" x14ac:dyDescent="0.25">
      <c r="A41" s="24" t="s">
        <v>165</v>
      </c>
      <c r="B41" s="112"/>
      <c r="C41" s="90"/>
      <c r="D41" s="55" t="s">
        <v>65</v>
      </c>
      <c r="E41" s="5"/>
      <c r="F41" s="5"/>
      <c r="G41" s="5"/>
      <c r="H41" s="5"/>
    </row>
    <row r="42" spans="1:10" ht="20.100000000000001" customHeight="1" x14ac:dyDescent="0.25">
      <c r="A42" s="87" t="s">
        <v>75</v>
      </c>
      <c r="B42" s="114" t="s">
        <v>64</v>
      </c>
      <c r="C42" s="35"/>
      <c r="D42" s="55" t="s">
        <v>65</v>
      </c>
      <c r="E42" s="5"/>
      <c r="F42" s="5"/>
      <c r="G42" s="5"/>
      <c r="H42" s="5"/>
    </row>
    <row r="43" spans="1:10" ht="20.100000000000001" customHeight="1" x14ac:dyDescent="0.25">
      <c r="A43" s="24" t="s">
        <v>166</v>
      </c>
      <c r="B43" s="112"/>
      <c r="C43" s="90"/>
      <c r="D43" s="55" t="s">
        <v>65</v>
      </c>
      <c r="E43" s="5"/>
      <c r="F43" s="5"/>
      <c r="G43" s="5"/>
      <c r="H43" s="5"/>
    </row>
    <row r="44" spans="1:10" ht="20.100000000000001" customHeight="1" x14ac:dyDescent="0.25">
      <c r="A44" s="24" t="s">
        <v>167</v>
      </c>
      <c r="B44" s="112"/>
      <c r="C44" s="90"/>
      <c r="D44" s="55" t="s">
        <v>65</v>
      </c>
      <c r="E44" s="5"/>
      <c r="F44" s="5"/>
      <c r="G44" s="5"/>
    </row>
    <row r="45" spans="1:10" ht="20.100000000000001" customHeight="1" x14ac:dyDescent="0.25">
      <c r="A45" s="24" t="s">
        <v>241</v>
      </c>
      <c r="B45" s="112"/>
      <c r="C45" s="90"/>
      <c r="D45" s="55" t="s">
        <v>65</v>
      </c>
      <c r="E45" s="5"/>
      <c r="F45" s="5"/>
      <c r="G45" s="5"/>
    </row>
    <row r="46" spans="1:10" ht="20.100000000000001" customHeight="1" x14ac:dyDescent="0.25">
      <c r="A46" s="24" t="s">
        <v>168</v>
      </c>
      <c r="B46" s="112"/>
      <c r="C46" s="90"/>
      <c r="D46" s="55" t="s">
        <v>65</v>
      </c>
      <c r="E46" s="5"/>
      <c r="F46" s="5"/>
      <c r="G46" s="5"/>
    </row>
    <row r="47" spans="1:10" ht="20.100000000000001" customHeight="1" x14ac:dyDescent="0.25">
      <c r="A47" s="24" t="s">
        <v>169</v>
      </c>
      <c r="B47" s="112"/>
      <c r="C47" s="90"/>
      <c r="D47" s="55" t="s">
        <v>65</v>
      </c>
      <c r="E47" s="5"/>
      <c r="F47" s="5"/>
      <c r="G47" s="5"/>
    </row>
    <row r="48" spans="1:10" ht="20.100000000000001" customHeight="1" thickBot="1" x14ac:dyDescent="0.3">
      <c r="A48" s="32" t="s">
        <v>170</v>
      </c>
      <c r="B48" s="113"/>
      <c r="C48" s="89"/>
      <c r="D48" s="55" t="s">
        <v>65</v>
      </c>
      <c r="E48" s="5"/>
      <c r="F48" s="5"/>
      <c r="G48" s="5"/>
    </row>
    <row r="49" spans="1:14" ht="30" customHeight="1" x14ac:dyDescent="0.25">
      <c r="A49" s="33" t="s">
        <v>76</v>
      </c>
      <c r="B49" s="116">
        <f>SUBTOTAL(109,Rahan_lähteet_taulukko[€])</f>
        <v>0</v>
      </c>
      <c r="C49" s="36"/>
      <c r="D49" s="55" t="s">
        <v>65</v>
      </c>
      <c r="F49" s="5"/>
      <c r="G49" s="5"/>
      <c r="H49" s="5"/>
    </row>
    <row r="50" spans="1:14" ht="50.1" customHeight="1" x14ac:dyDescent="0.25">
      <c r="A50" s="8" t="s">
        <v>107</v>
      </c>
      <c r="B50" s="27" t="s">
        <v>5</v>
      </c>
      <c r="C50" s="9" t="s">
        <v>113</v>
      </c>
      <c r="D50" s="55" t="s">
        <v>65</v>
      </c>
      <c r="F50" s="5"/>
      <c r="G50" s="5"/>
      <c r="H50" s="5"/>
    </row>
    <row r="51" spans="1:14" ht="50.1" customHeight="1" x14ac:dyDescent="0.25">
      <c r="A51" s="37" t="s">
        <v>148</v>
      </c>
      <c r="B51" s="117">
        <f>Rahan_lähteet_taulukko[[#Totals],[€]]-Rahan_tarve_taulukko[[#Totals],[€]]</f>
        <v>0</v>
      </c>
      <c r="C51" s="60" t="str">
        <f>IF(Rahan_lähteiden_ja_rahan_tarpeiden_erotus[[#This Row],[€]]=0,"OIKEIN","TARKISTA LASKELMASI!")</f>
        <v>OIKEIN</v>
      </c>
      <c r="D51" s="55" t="s">
        <v>65</v>
      </c>
      <c r="E51" s="4"/>
      <c r="F51" s="4"/>
      <c r="G51" s="4"/>
      <c r="H51" s="38"/>
      <c r="I51" s="38"/>
      <c r="J51" s="38"/>
      <c r="K51" s="38"/>
      <c r="L51" s="38"/>
      <c r="M51" s="38"/>
      <c r="N51" s="38"/>
    </row>
    <row r="52" spans="1:14" ht="30" customHeight="1" x14ac:dyDescent="0.25">
      <c r="A52" s="57" t="s">
        <v>104</v>
      </c>
      <c r="B52" s="4" t="s">
        <v>64</v>
      </c>
      <c r="C52" s="4" t="s">
        <v>64</v>
      </c>
      <c r="D52" s="55" t="s">
        <v>65</v>
      </c>
      <c r="E52" s="5"/>
      <c r="F52" s="5"/>
      <c r="G52" s="5"/>
    </row>
    <row r="53" spans="1:14" ht="110.1" customHeight="1" x14ac:dyDescent="0.25">
      <c r="A53" s="56" t="s">
        <v>266</v>
      </c>
      <c r="B53" s="4" t="s">
        <v>64</v>
      </c>
      <c r="C53" s="4" t="s">
        <v>64</v>
      </c>
      <c r="D53" s="55" t="s">
        <v>65</v>
      </c>
      <c r="E53" s="5"/>
      <c r="F53" s="5"/>
      <c r="G53" s="5"/>
    </row>
    <row r="54" spans="1:14" ht="110.1" customHeight="1" x14ac:dyDescent="0.25">
      <c r="A54" s="56" t="s">
        <v>259</v>
      </c>
      <c r="B54" s="4" t="s">
        <v>64</v>
      </c>
      <c r="C54" s="4" t="s">
        <v>64</v>
      </c>
      <c r="D54" s="55" t="s">
        <v>65</v>
      </c>
      <c r="E54" s="5"/>
      <c r="F54" s="5"/>
      <c r="G54" s="5"/>
    </row>
    <row r="55" spans="1:14" ht="110.1" customHeight="1" x14ac:dyDescent="0.25">
      <c r="A55" s="56" t="s">
        <v>136</v>
      </c>
      <c r="B55" s="4" t="s">
        <v>64</v>
      </c>
      <c r="C55" s="4" t="s">
        <v>64</v>
      </c>
      <c r="D55" s="55" t="s">
        <v>65</v>
      </c>
      <c r="E55" s="5"/>
      <c r="F55" s="5"/>
      <c r="G55" s="5"/>
    </row>
    <row r="56" spans="1:14" ht="110.1" customHeight="1" x14ac:dyDescent="0.25">
      <c r="A56" s="56" t="s">
        <v>134</v>
      </c>
      <c r="B56" s="4" t="s">
        <v>64</v>
      </c>
      <c r="C56" s="4" t="s">
        <v>64</v>
      </c>
      <c r="D56" s="55" t="s">
        <v>65</v>
      </c>
      <c r="E56" s="5"/>
      <c r="F56" s="5"/>
      <c r="G56" s="5"/>
    </row>
    <row r="57" spans="1:14" ht="125.1" customHeight="1" x14ac:dyDescent="0.25">
      <c r="A57" s="58" t="s">
        <v>135</v>
      </c>
      <c r="B57" s="4" t="s">
        <v>64</v>
      </c>
      <c r="C57" s="4" t="s">
        <v>64</v>
      </c>
      <c r="D57" s="55" t="s">
        <v>65</v>
      </c>
      <c r="E57" s="5"/>
      <c r="F57" s="5"/>
      <c r="G57" s="5"/>
    </row>
    <row r="58" spans="1:14" ht="18.75" x14ac:dyDescent="0.25">
      <c r="A58" s="91" t="s">
        <v>245</v>
      </c>
      <c r="B58" s="4" t="s">
        <v>64</v>
      </c>
      <c r="C58" s="4" t="s">
        <v>64</v>
      </c>
      <c r="D58" s="55" t="s">
        <v>65</v>
      </c>
    </row>
    <row r="59" spans="1:14" ht="3.95" customHeight="1" x14ac:dyDescent="0.25">
      <c r="A59" s="55" t="s">
        <v>4</v>
      </c>
      <c r="B59" s="55" t="s">
        <v>4</v>
      </c>
      <c r="C59" s="55" t="s">
        <v>4</v>
      </c>
      <c r="D59" s="55" t="s">
        <v>4</v>
      </c>
      <c r="E59" s="5"/>
      <c r="F59" s="5"/>
      <c r="G59" s="5"/>
    </row>
    <row r="60" spans="1:14" x14ac:dyDescent="0.25">
      <c r="B60" s="5"/>
      <c r="C60" s="5"/>
    </row>
    <row r="61" spans="1:14" x14ac:dyDescent="0.25">
      <c r="B61" s="5"/>
      <c r="C61" s="5"/>
    </row>
    <row r="62" spans="1:14" x14ac:dyDescent="0.25">
      <c r="B62" s="5"/>
      <c r="C62" s="5"/>
    </row>
    <row r="63" spans="1:14" x14ac:dyDescent="0.25">
      <c r="B63" s="5"/>
      <c r="C63" s="5"/>
    </row>
  </sheetData>
  <sheetProtection sheet="1" objects="1" scenarios="1"/>
  <conditionalFormatting sqref="C51">
    <cfRule type="containsText" dxfId="4" priority="1" stopIfTrue="1" operator="containsText" text="OIKEIN">
      <formula>NOT(ISERROR(SEARCH("OIKEIN",C51)))</formula>
    </cfRule>
    <cfRule type="containsText" dxfId="3" priority="2" stopIfTrue="1" operator="containsText" text="TARKISTA LASKELMASI!">
      <formula>NOT(ISERROR(SEARCH("TARKISTA LASKELMASI!",C51)))</formula>
    </cfRule>
  </conditionalFormatting>
  <pageMargins left="0.7" right="0.7" top="0.75" bottom="0.75" header="0.3" footer="0.3"/>
  <pageSetup paperSize="9" orientation="portrait" horizontalDpi="0" verticalDpi="0"/>
  <drawing r:id="rId1"/>
  <legacyDrawing r:id="rId2"/>
  <tableParts count="4">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1400E-7B69-1B4C-9FE7-6B7F1667EA3F}">
  <dimension ref="A1:I85"/>
  <sheetViews>
    <sheetView zoomScaleNormal="100" workbookViewId="0">
      <selection activeCell="C4" sqref="C4"/>
    </sheetView>
  </sheetViews>
  <sheetFormatPr defaultColWidth="10.875" defaultRowHeight="18" x14ac:dyDescent="0.25"/>
  <cols>
    <col min="1" max="1" width="82.875" style="2" customWidth="1"/>
    <col min="2" max="4" width="23.875" style="2" customWidth="1"/>
    <col min="5" max="5" width="0.625" style="2" customWidth="1"/>
    <col min="6" max="16384" width="10.875" style="2"/>
  </cols>
  <sheetData>
    <row r="1" spans="1:9" ht="60" customHeight="1" x14ac:dyDescent="0.25">
      <c r="A1" s="55" t="s">
        <v>261</v>
      </c>
      <c r="B1" s="4" t="s">
        <v>64</v>
      </c>
      <c r="C1" s="4" t="s">
        <v>64</v>
      </c>
      <c r="D1" s="4" t="s">
        <v>64</v>
      </c>
      <c r="E1" s="55" t="s">
        <v>66</v>
      </c>
      <c r="F1" s="4"/>
      <c r="G1" s="4"/>
      <c r="H1" s="5"/>
      <c r="I1" s="5"/>
    </row>
    <row r="2" spans="1:9" ht="30" customHeight="1" x14ac:dyDescent="0.25">
      <c r="A2" s="1" t="s">
        <v>6</v>
      </c>
      <c r="B2" s="4" t="s">
        <v>64</v>
      </c>
      <c r="C2" s="4" t="s">
        <v>64</v>
      </c>
      <c r="D2" s="4" t="s">
        <v>64</v>
      </c>
      <c r="E2" s="55" t="s">
        <v>66</v>
      </c>
      <c r="F2" s="4"/>
      <c r="G2" s="4"/>
      <c r="H2" s="5"/>
      <c r="I2" s="5"/>
    </row>
    <row r="3" spans="1:9" ht="110.1" customHeight="1" x14ac:dyDescent="0.25">
      <c r="A3" s="7" t="s">
        <v>175</v>
      </c>
      <c r="B3" s="4" t="s">
        <v>64</v>
      </c>
      <c r="C3" s="4" t="s">
        <v>64</v>
      </c>
      <c r="D3" s="4" t="s">
        <v>64</v>
      </c>
      <c r="E3" s="55" t="s">
        <v>66</v>
      </c>
      <c r="F3" s="4"/>
      <c r="G3" s="4"/>
      <c r="H3" s="5"/>
      <c r="I3" s="5"/>
    </row>
    <row r="4" spans="1:9" ht="50.1" customHeight="1" x14ac:dyDescent="0.25">
      <c r="A4" s="75" t="s">
        <v>221</v>
      </c>
      <c r="B4" s="4" t="s">
        <v>64</v>
      </c>
      <c r="C4" s="4" t="s">
        <v>64</v>
      </c>
      <c r="D4" s="4" t="s">
        <v>64</v>
      </c>
      <c r="E4" s="55" t="s">
        <v>66</v>
      </c>
      <c r="F4" s="4"/>
      <c r="G4" s="4"/>
      <c r="H4" s="5"/>
      <c r="I4" s="5"/>
    </row>
    <row r="5" spans="1:9" ht="30" customHeight="1" x14ac:dyDescent="0.25">
      <c r="A5" s="8" t="s">
        <v>102</v>
      </c>
      <c r="B5" s="9" t="s">
        <v>61</v>
      </c>
      <c r="C5" s="10" t="s">
        <v>189</v>
      </c>
      <c r="D5" s="4" t="s">
        <v>64</v>
      </c>
      <c r="E5" s="55" t="s">
        <v>66</v>
      </c>
      <c r="F5" s="4"/>
      <c r="G5" s="4"/>
    </row>
    <row r="6" spans="1:9" ht="20.100000000000001" customHeight="1" x14ac:dyDescent="0.25">
      <c r="A6" s="11" t="s">
        <v>246</v>
      </c>
      <c r="B6" s="92"/>
      <c r="C6" s="93">
        <f>Tavoitetulos_taulukko[[#This Row],[Kuukaudessa]]*12</f>
        <v>0</v>
      </c>
      <c r="D6" s="4" t="s">
        <v>64</v>
      </c>
      <c r="E6" s="55" t="s">
        <v>66</v>
      </c>
      <c r="F6" s="4"/>
      <c r="G6" s="4"/>
    </row>
    <row r="7" spans="1:9" ht="20.100000000000001" customHeight="1" x14ac:dyDescent="0.25">
      <c r="A7" s="12" t="s">
        <v>96</v>
      </c>
      <c r="B7" s="94"/>
      <c r="C7" s="95">
        <f>Tavoitetulos_taulukko[[#This Row],[Kuukaudessa]]*12</f>
        <v>0</v>
      </c>
      <c r="D7" s="4" t="s">
        <v>64</v>
      </c>
      <c r="E7" s="55" t="s">
        <v>66</v>
      </c>
      <c r="F7" s="4"/>
      <c r="G7" s="4"/>
    </row>
    <row r="8" spans="1:9" ht="20.100000000000001" customHeight="1" x14ac:dyDescent="0.25">
      <c r="A8" s="13" t="s">
        <v>143</v>
      </c>
      <c r="B8" s="96">
        <f>SUM(B6:B7)</f>
        <v>0</v>
      </c>
      <c r="C8" s="97">
        <f>Tavoitetulos_taulukko[[#This Row],[Kuukaudessa]]*12</f>
        <v>0</v>
      </c>
      <c r="D8" s="4" t="s">
        <v>64</v>
      </c>
      <c r="E8" s="55" t="s">
        <v>66</v>
      </c>
      <c r="F8" s="4"/>
      <c r="G8" s="4"/>
    </row>
    <row r="9" spans="1:9" ht="20.100000000000001" customHeight="1" x14ac:dyDescent="0.25">
      <c r="A9" s="12" t="s">
        <v>249</v>
      </c>
      <c r="B9" s="94"/>
      <c r="C9" s="95">
        <f>Tavoitetulos_taulukko[[#This Row],[Kuukaudessa]]*12</f>
        <v>0</v>
      </c>
      <c r="D9" s="4" t="s">
        <v>64</v>
      </c>
      <c r="E9" s="55" t="s">
        <v>66</v>
      </c>
      <c r="F9" s="4"/>
      <c r="G9" s="4"/>
    </row>
    <row r="10" spans="1:9" ht="20.100000000000001" customHeight="1" x14ac:dyDescent="0.25">
      <c r="A10" s="14" t="s">
        <v>99</v>
      </c>
      <c r="B10" s="98">
        <f>SUM(B8:B9)</f>
        <v>0</v>
      </c>
      <c r="C10" s="99">
        <f>Tavoitetulos_taulukko[[#This Row],[Kuukaudessa]]*12</f>
        <v>0</v>
      </c>
      <c r="D10" s="4" t="s">
        <v>64</v>
      </c>
      <c r="E10" s="55" t="s">
        <v>66</v>
      </c>
      <c r="F10" s="4"/>
      <c r="G10" s="4"/>
    </row>
    <row r="11" spans="1:9" ht="20.100000000000001" customHeight="1" thickBot="1" x14ac:dyDescent="0.3">
      <c r="A11" s="15" t="s">
        <v>97</v>
      </c>
      <c r="B11" s="100"/>
      <c r="C11" s="101">
        <f>Tavoitetulos_taulukko[[#This Row],[Kuukaudessa]]*12</f>
        <v>0</v>
      </c>
      <c r="D11" s="4" t="s">
        <v>64</v>
      </c>
      <c r="E11" s="55" t="s">
        <v>66</v>
      </c>
      <c r="F11" s="4"/>
      <c r="G11" s="4"/>
    </row>
    <row r="12" spans="1:9" ht="24.95" customHeight="1" x14ac:dyDescent="0.25">
      <c r="A12" s="16" t="s">
        <v>98</v>
      </c>
      <c r="B12" s="102">
        <f>SUM(B10:B11)</f>
        <v>0</v>
      </c>
      <c r="C12" s="103">
        <f>SUM(C10:C11)</f>
        <v>0</v>
      </c>
      <c r="D12" s="4" t="s">
        <v>64</v>
      </c>
      <c r="E12" s="55" t="s">
        <v>66</v>
      </c>
      <c r="F12" s="4"/>
      <c r="G12" s="4"/>
    </row>
    <row r="13" spans="1:9" ht="30" customHeight="1" x14ac:dyDescent="0.25">
      <c r="A13" s="17" t="s">
        <v>144</v>
      </c>
      <c r="B13" s="9" t="s">
        <v>61</v>
      </c>
      <c r="C13" s="10" t="s">
        <v>189</v>
      </c>
      <c r="D13" s="4" t="s">
        <v>64</v>
      </c>
      <c r="E13" s="55" t="s">
        <v>66</v>
      </c>
      <c r="F13" s="4"/>
      <c r="G13" s="4"/>
    </row>
    <row r="14" spans="1:9" ht="20.100000000000001" customHeight="1" x14ac:dyDescent="0.25">
      <c r="A14" s="11" t="s">
        <v>145</v>
      </c>
      <c r="B14" s="92"/>
      <c r="C14" s="93">
        <f>Kiinteät_kulut_taulukko[[#This Row],[Kuukaudessa]]*12</f>
        <v>0</v>
      </c>
      <c r="D14" s="4" t="s">
        <v>64</v>
      </c>
      <c r="E14" s="55" t="s">
        <v>66</v>
      </c>
      <c r="F14" s="4"/>
      <c r="G14" s="4"/>
    </row>
    <row r="15" spans="1:9" ht="20.100000000000001" customHeight="1" x14ac:dyDescent="0.25">
      <c r="A15" s="18" t="s">
        <v>31</v>
      </c>
      <c r="B15" s="94"/>
      <c r="C15" s="95">
        <f>Kiinteät_kulut_taulukko[[#This Row],[Kuukaudessa]]*12</f>
        <v>0</v>
      </c>
      <c r="D15" s="4" t="s">
        <v>64</v>
      </c>
      <c r="E15" s="55" t="s">
        <v>66</v>
      </c>
      <c r="F15" s="4"/>
      <c r="G15" s="4"/>
    </row>
    <row r="16" spans="1:9" ht="20.100000000000001" customHeight="1" x14ac:dyDescent="0.25">
      <c r="A16" s="18" t="s">
        <v>78</v>
      </c>
      <c r="B16" s="94"/>
      <c r="C16" s="95">
        <f>Kiinteät_kulut_taulukko[[#This Row],[Kuukaudessa]]*12</f>
        <v>0</v>
      </c>
      <c r="D16" s="4" t="s">
        <v>64</v>
      </c>
      <c r="E16" s="55" t="s">
        <v>66</v>
      </c>
      <c r="F16" s="4"/>
      <c r="G16" s="4"/>
    </row>
    <row r="17" spans="1:7" ht="20.100000000000001" customHeight="1" x14ac:dyDescent="0.25">
      <c r="A17" s="19" t="s">
        <v>79</v>
      </c>
      <c r="B17" s="94"/>
      <c r="C17" s="95">
        <f>Kiinteät_kulut_taulukko[[#This Row],[Kuukaudessa]]*12</f>
        <v>0</v>
      </c>
      <c r="D17" s="4" t="s">
        <v>64</v>
      </c>
      <c r="E17" s="55" t="s">
        <v>66</v>
      </c>
      <c r="F17" s="4"/>
      <c r="G17" s="4"/>
    </row>
    <row r="18" spans="1:7" ht="20.100000000000001" customHeight="1" x14ac:dyDescent="0.25">
      <c r="A18" s="18" t="s">
        <v>114</v>
      </c>
      <c r="B18" s="94"/>
      <c r="C18" s="95">
        <f>Kiinteät_kulut_taulukko[[#This Row],[Kuukaudessa]]*12</f>
        <v>0</v>
      </c>
      <c r="D18" s="4" t="s">
        <v>64</v>
      </c>
      <c r="E18" s="55" t="s">
        <v>66</v>
      </c>
      <c r="F18" s="4"/>
      <c r="G18" s="4"/>
    </row>
    <row r="19" spans="1:7" ht="20.100000000000001" customHeight="1" x14ac:dyDescent="0.25">
      <c r="A19" s="18" t="s">
        <v>80</v>
      </c>
      <c r="B19" s="94"/>
      <c r="C19" s="95">
        <f>Kiinteät_kulut_taulukko[[#This Row],[Kuukaudessa]]*12</f>
        <v>0</v>
      </c>
      <c r="D19" s="4" t="s">
        <v>64</v>
      </c>
      <c r="E19" s="55" t="s">
        <v>66</v>
      </c>
      <c r="F19" s="4"/>
      <c r="G19" s="4"/>
    </row>
    <row r="20" spans="1:7" ht="20.100000000000001" customHeight="1" x14ac:dyDescent="0.25">
      <c r="A20" s="18" t="s">
        <v>81</v>
      </c>
      <c r="B20" s="94"/>
      <c r="C20" s="95">
        <f>Kiinteät_kulut_taulukko[[#This Row],[Kuukaudessa]]*12</f>
        <v>0</v>
      </c>
      <c r="D20" s="4" t="s">
        <v>64</v>
      </c>
      <c r="E20" s="55" t="s">
        <v>66</v>
      </c>
      <c r="F20" s="4"/>
      <c r="G20" s="4"/>
    </row>
    <row r="21" spans="1:7" ht="20.100000000000001" customHeight="1" x14ac:dyDescent="0.25">
      <c r="A21" s="18" t="s">
        <v>12</v>
      </c>
      <c r="B21" s="94"/>
      <c r="C21" s="95">
        <f>Kiinteät_kulut_taulukko[[#This Row],[Kuukaudessa]]*12</f>
        <v>0</v>
      </c>
      <c r="D21" s="4" t="s">
        <v>64</v>
      </c>
      <c r="E21" s="55" t="s">
        <v>66</v>
      </c>
      <c r="F21" s="4"/>
      <c r="G21" s="4"/>
    </row>
    <row r="22" spans="1:7" ht="20.100000000000001" customHeight="1" x14ac:dyDescent="0.25">
      <c r="A22" s="18" t="s">
        <v>82</v>
      </c>
      <c r="B22" s="94"/>
      <c r="C22" s="95">
        <f>Kiinteät_kulut_taulukko[[#This Row],[Kuukaudessa]]*12</f>
        <v>0</v>
      </c>
      <c r="D22" s="4" t="s">
        <v>64</v>
      </c>
      <c r="E22" s="55" t="s">
        <v>66</v>
      </c>
      <c r="F22" s="4"/>
      <c r="G22" s="4"/>
    </row>
    <row r="23" spans="1:7" ht="20.100000000000001" customHeight="1" x14ac:dyDescent="0.25">
      <c r="A23" s="18" t="s">
        <v>83</v>
      </c>
      <c r="B23" s="94"/>
      <c r="C23" s="95">
        <f>Kiinteät_kulut_taulukko[[#This Row],[Kuukaudessa]]*12</f>
        <v>0</v>
      </c>
      <c r="D23" s="4" t="s">
        <v>64</v>
      </c>
      <c r="E23" s="55" t="s">
        <v>66</v>
      </c>
      <c r="F23" s="4"/>
      <c r="G23" s="4"/>
    </row>
    <row r="24" spans="1:7" ht="20.100000000000001" customHeight="1" x14ac:dyDescent="0.25">
      <c r="A24" s="18" t="s">
        <v>84</v>
      </c>
      <c r="B24" s="94"/>
      <c r="C24" s="95">
        <f>Kiinteät_kulut_taulukko[[#This Row],[Kuukaudessa]]*12</f>
        <v>0</v>
      </c>
      <c r="D24" s="4" t="s">
        <v>64</v>
      </c>
      <c r="E24" s="55" t="s">
        <v>66</v>
      </c>
      <c r="F24" s="4"/>
      <c r="G24" s="4"/>
    </row>
    <row r="25" spans="1:7" ht="20.100000000000001" customHeight="1" x14ac:dyDescent="0.25">
      <c r="A25" s="18" t="s">
        <v>85</v>
      </c>
      <c r="B25" s="94"/>
      <c r="C25" s="95">
        <f>Kiinteät_kulut_taulukko[[#This Row],[Kuukaudessa]]*12</f>
        <v>0</v>
      </c>
      <c r="D25" s="4" t="s">
        <v>64</v>
      </c>
      <c r="E25" s="55" t="s">
        <v>66</v>
      </c>
      <c r="F25" s="4"/>
      <c r="G25" s="4"/>
    </row>
    <row r="26" spans="1:7" ht="20.100000000000001" customHeight="1" x14ac:dyDescent="0.25">
      <c r="A26" s="18" t="s">
        <v>86</v>
      </c>
      <c r="B26" s="94"/>
      <c r="C26" s="95">
        <f>Kiinteät_kulut_taulukko[[#This Row],[Kuukaudessa]]*12</f>
        <v>0</v>
      </c>
      <c r="D26" s="4" t="s">
        <v>64</v>
      </c>
      <c r="E26" s="55" t="s">
        <v>66</v>
      </c>
      <c r="F26" s="4"/>
      <c r="G26" s="4"/>
    </row>
    <row r="27" spans="1:7" ht="20.100000000000001" customHeight="1" x14ac:dyDescent="0.25">
      <c r="A27" s="18" t="s">
        <v>87</v>
      </c>
      <c r="B27" s="94"/>
      <c r="C27" s="95">
        <f>Kiinteät_kulut_taulukko[[#This Row],[Kuukaudessa]]*12</f>
        <v>0</v>
      </c>
      <c r="D27" s="4" t="s">
        <v>64</v>
      </c>
      <c r="E27" s="55" t="s">
        <v>66</v>
      </c>
      <c r="F27" s="4"/>
      <c r="G27" s="4"/>
    </row>
    <row r="28" spans="1:7" ht="20.100000000000001" customHeight="1" x14ac:dyDescent="0.25">
      <c r="A28" s="18" t="s">
        <v>88</v>
      </c>
      <c r="B28" s="94"/>
      <c r="C28" s="95">
        <f>Kiinteät_kulut_taulukko[[#This Row],[Kuukaudessa]]*12</f>
        <v>0</v>
      </c>
      <c r="D28" s="4" t="s">
        <v>64</v>
      </c>
      <c r="E28" s="55" t="s">
        <v>66</v>
      </c>
      <c r="F28" s="4"/>
      <c r="G28" s="4"/>
    </row>
    <row r="29" spans="1:7" ht="20.100000000000001" customHeight="1" x14ac:dyDescent="0.25">
      <c r="A29" s="18" t="s">
        <v>89</v>
      </c>
      <c r="B29" s="94"/>
      <c r="C29" s="95">
        <f>Kiinteät_kulut_taulukko[[#This Row],[Kuukaudessa]]*12</f>
        <v>0</v>
      </c>
      <c r="D29" s="4" t="s">
        <v>64</v>
      </c>
      <c r="E29" s="55" t="s">
        <v>66</v>
      </c>
      <c r="F29" s="4"/>
      <c r="G29" s="4"/>
    </row>
    <row r="30" spans="1:7" ht="20.100000000000001" customHeight="1" x14ac:dyDescent="0.25">
      <c r="A30" s="18" t="s">
        <v>242</v>
      </c>
      <c r="B30" s="94"/>
      <c r="C30" s="95">
        <f>Kiinteät_kulut_taulukko[[#This Row],[Kuukaudessa]]*12</f>
        <v>0</v>
      </c>
      <c r="D30" s="4" t="s">
        <v>64</v>
      </c>
      <c r="E30" s="55" t="s">
        <v>66</v>
      </c>
      <c r="F30" s="4"/>
      <c r="G30" s="4"/>
    </row>
    <row r="31" spans="1:7" ht="20.100000000000001" customHeight="1" x14ac:dyDescent="0.25">
      <c r="A31" s="18" t="s">
        <v>111</v>
      </c>
      <c r="B31" s="94"/>
      <c r="C31" s="95">
        <f>Kiinteät_kulut_taulukko[[#This Row],[Kuukaudessa]]*12</f>
        <v>0</v>
      </c>
      <c r="D31" s="4" t="s">
        <v>64</v>
      </c>
      <c r="E31" s="55" t="s">
        <v>66</v>
      </c>
      <c r="F31" s="4"/>
      <c r="G31" s="4"/>
    </row>
    <row r="32" spans="1:7" ht="20.100000000000001" customHeight="1" thickBot="1" x14ac:dyDescent="0.3">
      <c r="A32" s="20" t="s">
        <v>112</v>
      </c>
      <c r="B32" s="100"/>
      <c r="C32" s="101">
        <f>Kiinteät_kulut_taulukko[[#This Row],[Kuukaudessa]]*12</f>
        <v>0</v>
      </c>
      <c r="D32" s="4" t="s">
        <v>64</v>
      </c>
      <c r="E32" s="55" t="s">
        <v>66</v>
      </c>
      <c r="F32" s="4"/>
      <c r="G32" s="4"/>
    </row>
    <row r="33" spans="1:9" ht="30" customHeight="1" x14ac:dyDescent="0.25">
      <c r="A33" s="21" t="s">
        <v>90</v>
      </c>
      <c r="B33" s="102">
        <f>SUM(B14:B32)</f>
        <v>0</v>
      </c>
      <c r="C33" s="103">
        <f>SUM(C14:C32)</f>
        <v>0</v>
      </c>
      <c r="D33" s="4" t="s">
        <v>64</v>
      </c>
      <c r="E33" s="55" t="s">
        <v>66</v>
      </c>
      <c r="F33" s="4"/>
      <c r="G33" s="4"/>
    </row>
    <row r="34" spans="1:9" ht="30" customHeight="1" x14ac:dyDescent="0.25">
      <c r="A34" s="17" t="s">
        <v>105</v>
      </c>
      <c r="B34" s="9" t="s">
        <v>61</v>
      </c>
      <c r="C34" s="10" t="s">
        <v>189</v>
      </c>
      <c r="D34" s="4" t="s">
        <v>64</v>
      </c>
      <c r="E34" s="55" t="s">
        <v>66</v>
      </c>
      <c r="F34" s="4"/>
      <c r="G34" s="4"/>
    </row>
    <row r="35" spans="1:9" ht="20.100000000000001" customHeight="1" x14ac:dyDescent="0.25">
      <c r="A35" s="22" t="s">
        <v>146</v>
      </c>
      <c r="B35" s="104">
        <f>SUM(B12,B33)</f>
        <v>0</v>
      </c>
      <c r="C35" s="105">
        <f>SUM(C12,C33)</f>
        <v>0</v>
      </c>
      <c r="D35" s="4" t="s">
        <v>64</v>
      </c>
      <c r="E35" s="55" t="s">
        <v>66</v>
      </c>
      <c r="F35" s="4"/>
      <c r="G35" s="4"/>
    </row>
    <row r="36" spans="1:9" ht="20.100000000000001" customHeight="1" thickBot="1" x14ac:dyDescent="0.3">
      <c r="A36" s="15" t="s">
        <v>248</v>
      </c>
      <c r="B36" s="106">
        <f>B35/100*25.5</f>
        <v>0</v>
      </c>
      <c r="C36" s="101">
        <f>C35/100*25.5</f>
        <v>0</v>
      </c>
      <c r="D36" s="4" t="s">
        <v>64</v>
      </c>
      <c r="E36" s="55" t="s">
        <v>66</v>
      </c>
      <c r="F36" s="4"/>
      <c r="G36" s="4"/>
    </row>
    <row r="37" spans="1:9" ht="30" customHeight="1" x14ac:dyDescent="0.25">
      <c r="A37" s="23" t="s">
        <v>191</v>
      </c>
      <c r="B37" s="102">
        <f>SUM(B35,B36)</f>
        <v>0</v>
      </c>
      <c r="C37" s="103">
        <f>SUM(C35,C36)</f>
        <v>0</v>
      </c>
      <c r="D37" s="4" t="s">
        <v>64</v>
      </c>
      <c r="E37" s="55" t="s">
        <v>66</v>
      </c>
      <c r="F37" s="4"/>
      <c r="G37" s="4"/>
    </row>
    <row r="38" spans="1:9" ht="54.95" customHeight="1" x14ac:dyDescent="0.25">
      <c r="A38" s="8" t="s">
        <v>260</v>
      </c>
      <c r="B38" s="9" t="s">
        <v>190</v>
      </c>
      <c r="C38" s="10" t="s">
        <v>103</v>
      </c>
      <c r="D38" s="4" t="s">
        <v>64</v>
      </c>
      <c r="E38" s="55" t="s">
        <v>66</v>
      </c>
      <c r="F38" s="4"/>
      <c r="G38" s="4"/>
    </row>
    <row r="39" spans="1:9" ht="20.100000000000001" customHeight="1" x14ac:dyDescent="0.25">
      <c r="A39" s="11" t="s">
        <v>63</v>
      </c>
      <c r="B39" s="107">
        <f>C35</f>
        <v>0</v>
      </c>
      <c r="C39" s="93">
        <f>C37</f>
        <v>0</v>
      </c>
      <c r="D39" s="4" t="s">
        <v>64</v>
      </c>
      <c r="E39" s="55" t="s">
        <v>66</v>
      </c>
      <c r="F39" s="4"/>
      <c r="G39" s="4"/>
    </row>
    <row r="40" spans="1:9" ht="20.100000000000001" customHeight="1" x14ac:dyDescent="0.25">
      <c r="A40" s="24" t="s">
        <v>262</v>
      </c>
      <c r="B40" s="108">
        <f>B39/11</f>
        <v>0</v>
      </c>
      <c r="C40" s="95">
        <f>C39/11</f>
        <v>0</v>
      </c>
      <c r="D40" s="4" t="s">
        <v>64</v>
      </c>
      <c r="E40" s="55" t="s">
        <v>66</v>
      </c>
      <c r="F40" s="4"/>
      <c r="G40" s="4"/>
    </row>
    <row r="41" spans="1:9" ht="20.100000000000001" customHeight="1" x14ac:dyDescent="0.25">
      <c r="A41" s="18" t="s">
        <v>263</v>
      </c>
      <c r="B41" s="109">
        <f>B40/20</f>
        <v>0</v>
      </c>
      <c r="C41" s="95">
        <f>C40/20</f>
        <v>0</v>
      </c>
      <c r="D41" s="4" t="s">
        <v>64</v>
      </c>
      <c r="E41" s="55" t="s">
        <v>66</v>
      </c>
      <c r="F41" s="4"/>
      <c r="G41" s="4"/>
    </row>
    <row r="42" spans="1:9" ht="30" customHeight="1" x14ac:dyDescent="0.25">
      <c r="A42" s="25" t="s">
        <v>264</v>
      </c>
      <c r="B42" s="110">
        <f>B41/8</f>
        <v>0</v>
      </c>
      <c r="C42" s="111">
        <f>C41/8</f>
        <v>0</v>
      </c>
      <c r="D42" s="4" t="s">
        <v>64</v>
      </c>
      <c r="E42" s="55" t="s">
        <v>66</v>
      </c>
      <c r="F42" s="4"/>
      <c r="G42" s="4"/>
    </row>
    <row r="43" spans="1:9" ht="30" customHeight="1" x14ac:dyDescent="0.25">
      <c r="A43" s="17" t="s">
        <v>147</v>
      </c>
      <c r="B43" s="66" t="s">
        <v>233</v>
      </c>
      <c r="C43" s="26" t="s">
        <v>21</v>
      </c>
      <c r="D43" s="27" t="s">
        <v>22</v>
      </c>
      <c r="E43" s="55" t="s">
        <v>66</v>
      </c>
      <c r="F43" s="4"/>
      <c r="G43" s="4"/>
      <c r="H43" s="5"/>
      <c r="I43" s="5"/>
    </row>
    <row r="44" spans="1:9" ht="20.100000000000001" customHeight="1" x14ac:dyDescent="0.25">
      <c r="A44" s="11" t="s">
        <v>252</v>
      </c>
      <c r="B44" s="85" t="s">
        <v>234</v>
      </c>
      <c r="C44" s="162">
        <v>15</v>
      </c>
      <c r="D44" s="163">
        <v>10</v>
      </c>
      <c r="E44" s="55" t="s">
        <v>66</v>
      </c>
      <c r="F44" s="4"/>
      <c r="G44" s="4"/>
      <c r="H44" s="5"/>
      <c r="I44" s="5"/>
    </row>
    <row r="45" spans="1:9" ht="30" customHeight="1" x14ac:dyDescent="0.25">
      <c r="A45" s="25" t="s">
        <v>253</v>
      </c>
      <c r="B45" s="85" t="s">
        <v>234</v>
      </c>
      <c r="C45" s="164">
        <v>5</v>
      </c>
      <c r="D45" s="165">
        <v>5</v>
      </c>
      <c r="E45" s="55" t="s">
        <v>66</v>
      </c>
      <c r="F45" s="4"/>
      <c r="G45" s="4"/>
      <c r="H45" s="5"/>
      <c r="I45" s="5"/>
    </row>
    <row r="46" spans="1:9" ht="30" customHeight="1" x14ac:dyDescent="0.25">
      <c r="A46" s="17" t="s">
        <v>77</v>
      </c>
      <c r="B46" s="26" t="s">
        <v>18</v>
      </c>
      <c r="C46" s="26" t="s">
        <v>19</v>
      </c>
      <c r="D46" s="27" t="s">
        <v>20</v>
      </c>
      <c r="E46" s="55" t="s">
        <v>66</v>
      </c>
      <c r="F46" s="4"/>
      <c r="G46" s="4"/>
    </row>
    <row r="47" spans="1:9" ht="20.100000000000001" customHeight="1" x14ac:dyDescent="0.25">
      <c r="A47" s="11" t="s">
        <v>8</v>
      </c>
      <c r="B47" s="107">
        <f>C37</f>
        <v>0</v>
      </c>
      <c r="C47" s="107">
        <f>SUM(C48:C49)</f>
        <v>0</v>
      </c>
      <c r="D47" s="93">
        <f>SUM(D48:D49)</f>
        <v>0</v>
      </c>
      <c r="E47" s="55" t="s">
        <v>66</v>
      </c>
      <c r="F47" s="4"/>
      <c r="G47" s="4"/>
    </row>
    <row r="48" spans="1:9" ht="20.100000000000001" customHeight="1" x14ac:dyDescent="0.25">
      <c r="A48" s="18" t="s">
        <v>9</v>
      </c>
      <c r="B48" s="109">
        <f>C36</f>
        <v>0</v>
      </c>
      <c r="C48" s="109">
        <f>C49*0.255</f>
        <v>0</v>
      </c>
      <c r="D48" s="95">
        <f>D49*0.255</f>
        <v>0</v>
      </c>
      <c r="E48" s="55" t="s">
        <v>66</v>
      </c>
      <c r="F48" s="4"/>
      <c r="G48" s="4"/>
    </row>
    <row r="49" spans="1:7" ht="20.100000000000001" customHeight="1" x14ac:dyDescent="0.25">
      <c r="A49" s="28" t="s">
        <v>91</v>
      </c>
      <c r="B49" s="98">
        <f>B47-B48</f>
        <v>0</v>
      </c>
      <c r="C49" s="98">
        <f>Kolmen_vuoden_tuloslaskelma_taulukko[[#This Row],[vuosi +1]]+(Kolmen_vuoden_tuloslaskelma_taulukko[[#This Row],[vuosi +1]]/100*C44)</f>
        <v>0</v>
      </c>
      <c r="D49" s="99">
        <f>Kolmen_vuoden_tuloslaskelma_taulukko[[#This Row],[vuosi +2]]+(Kolmen_vuoden_tuloslaskelma_taulukko[[#This Row],[vuosi +2]]/100*D44)</f>
        <v>0</v>
      </c>
      <c r="E49" s="55" t="s">
        <v>66</v>
      </c>
      <c r="F49" s="4"/>
      <c r="G49" s="4"/>
    </row>
    <row r="50" spans="1:7" ht="20.100000000000001" customHeight="1" x14ac:dyDescent="0.25">
      <c r="A50" s="18" t="s">
        <v>10</v>
      </c>
      <c r="B50" s="109">
        <f>SUM(C16:C18)</f>
        <v>0</v>
      </c>
      <c r="C50" s="109">
        <f>Kolmen_vuoden_tuloslaskelma_taulukko[[#This Row],[vuosi +1]]+(Kolmen_vuoden_tuloslaskelma_taulukko[[#This Row],[vuosi +1]]/100*C45)</f>
        <v>0</v>
      </c>
      <c r="D50" s="95">
        <f>Kolmen_vuoden_tuloslaskelma_taulukko[[#This Row],[vuosi +2]]+(Kolmen_vuoden_tuloslaskelma_taulukko[[#This Row],[vuosi +2]]/100*D45)</f>
        <v>0</v>
      </c>
      <c r="E50" s="55" t="s">
        <v>66</v>
      </c>
      <c r="F50" s="4"/>
      <c r="G50" s="4"/>
    </row>
    <row r="51" spans="1:7" ht="20.100000000000001" customHeight="1" x14ac:dyDescent="0.25">
      <c r="A51" s="18" t="s">
        <v>11</v>
      </c>
      <c r="B51" s="109">
        <f>C19</f>
        <v>0</v>
      </c>
      <c r="C51" s="109">
        <f>Kolmen_vuoden_tuloslaskelma_taulukko[[#This Row],[vuosi +1]]+(Kolmen_vuoden_tuloslaskelma_taulukko[[#This Row],[vuosi +1]]/100*C45)</f>
        <v>0</v>
      </c>
      <c r="D51" s="95">
        <f>Kolmen_vuoden_tuloslaskelma_taulukko[[#This Row],[vuosi +2]]+(Kolmen_vuoden_tuloslaskelma_taulukko[[#This Row],[vuosi +2]]/100*D45)</f>
        <v>0</v>
      </c>
      <c r="E51" s="55" t="s">
        <v>66</v>
      </c>
      <c r="F51" s="4"/>
      <c r="G51" s="4"/>
    </row>
    <row r="52" spans="1:7" ht="20.100000000000001" customHeight="1" x14ac:dyDescent="0.25">
      <c r="A52" s="18" t="s">
        <v>12</v>
      </c>
      <c r="B52" s="109">
        <f>C21</f>
        <v>0</v>
      </c>
      <c r="C52" s="109">
        <f>Kolmen_vuoden_tuloslaskelma_taulukko[[#This Row],[vuosi +1]]+(Kolmen_vuoden_tuloslaskelma_taulukko[[#This Row],[vuosi +1]]/100*C45)</f>
        <v>0</v>
      </c>
      <c r="D52" s="95">
        <f>Kolmen_vuoden_tuloslaskelma_taulukko[[#This Row],[vuosi +2]]+(Kolmen_vuoden_tuloslaskelma_taulukko[[#This Row],[vuosi +2]]/100*D45)</f>
        <v>0</v>
      </c>
      <c r="E52" s="55" t="s">
        <v>66</v>
      </c>
      <c r="F52" s="4"/>
      <c r="G52" s="4"/>
    </row>
    <row r="53" spans="1:7" ht="20.100000000000001" customHeight="1" x14ac:dyDescent="0.25">
      <c r="A53" s="18" t="s">
        <v>13</v>
      </c>
      <c r="B53" s="109">
        <f>SUM(C14:C15,C20,C22:C32)</f>
        <v>0</v>
      </c>
      <c r="C53" s="109">
        <f>Kolmen_vuoden_tuloslaskelma_taulukko[[#This Row],[vuosi +1]]+(Kolmen_vuoden_tuloslaskelma_taulukko[[#This Row],[vuosi +1]]/100*C45)</f>
        <v>0</v>
      </c>
      <c r="D53" s="95">
        <f>Kolmen_vuoden_tuloslaskelma_taulukko[[#This Row],[vuosi +2]]+(Kolmen_vuoden_tuloslaskelma_taulukko[[#This Row],[vuosi +2]]/100*D45)</f>
        <v>0</v>
      </c>
      <c r="E53" s="55" t="s">
        <v>66</v>
      </c>
      <c r="F53" s="4"/>
      <c r="G53" s="4"/>
    </row>
    <row r="54" spans="1:7" ht="20.100000000000001" customHeight="1" x14ac:dyDescent="0.25">
      <c r="A54" s="28" t="s">
        <v>92</v>
      </c>
      <c r="B54" s="98">
        <f>B49-B50-B51-B52-B53</f>
        <v>0</v>
      </c>
      <c r="C54" s="98">
        <f>C49-C50-C51-C52-C53</f>
        <v>0</v>
      </c>
      <c r="D54" s="99">
        <f>D49-D50-D51-D52-D53</f>
        <v>0</v>
      </c>
      <c r="E54" s="55" t="s">
        <v>66</v>
      </c>
      <c r="F54" s="4"/>
      <c r="G54" s="4"/>
    </row>
    <row r="55" spans="1:7" ht="20.100000000000001" customHeight="1" x14ac:dyDescent="0.25">
      <c r="A55" s="18" t="s">
        <v>14</v>
      </c>
      <c r="B55" s="109">
        <f>SUM(C7,C11)</f>
        <v>0</v>
      </c>
      <c r="C55" s="109">
        <f>Kolmen_vuoden_tuloslaskelma_taulukko[[#This Row],[vuosi +1]]</f>
        <v>0</v>
      </c>
      <c r="D55" s="109">
        <f>Kolmen_vuoden_tuloslaskelma_taulukko[[#This Row],[vuosi +2]]</f>
        <v>0</v>
      </c>
      <c r="E55" s="55" t="s">
        <v>66</v>
      </c>
      <c r="F55" s="4"/>
      <c r="G55" s="4"/>
    </row>
    <row r="56" spans="1:7" ht="20.100000000000001" customHeight="1" x14ac:dyDescent="0.25">
      <c r="A56" s="18" t="s">
        <v>15</v>
      </c>
      <c r="B56" s="109">
        <f>C9</f>
        <v>0</v>
      </c>
      <c r="C56" s="109">
        <f>Kolmen_vuoden_tuloslaskelma_taulukko[[#This Row],[vuosi +1]]+(Kolmen_vuoden_tuloslaskelma_taulukko[[#This Row],[vuosi +1]]/100*C45)</f>
        <v>0</v>
      </c>
      <c r="D56" s="109">
        <f>Kolmen_vuoden_tuloslaskelma_taulukko[[#This Row],[vuosi +2]]+(Kolmen_vuoden_tuloslaskelma_taulukko[[#This Row],[vuosi +2]]/100*D45)</f>
        <v>0</v>
      </c>
      <c r="E56" s="55" t="s">
        <v>66</v>
      </c>
      <c r="F56" s="4"/>
      <c r="G56" s="4"/>
    </row>
    <row r="57" spans="1:7" ht="20.100000000000001" customHeight="1" x14ac:dyDescent="0.25">
      <c r="A57" s="28" t="s">
        <v>93</v>
      </c>
      <c r="B57" s="98">
        <f>B54-B55-B56</f>
        <v>0</v>
      </c>
      <c r="C57" s="98">
        <f t="shared" ref="C57:D57" si="0">C54-C55-C56</f>
        <v>0</v>
      </c>
      <c r="D57" s="99">
        <f t="shared" si="0"/>
        <v>0</v>
      </c>
      <c r="E57" s="55" t="s">
        <v>66</v>
      </c>
      <c r="F57" s="4"/>
      <c r="G57" s="4"/>
    </row>
    <row r="58" spans="1:7" ht="20.100000000000001" customHeight="1" x14ac:dyDescent="0.25">
      <c r="A58" s="18" t="s">
        <v>16</v>
      </c>
      <c r="B58" s="94"/>
      <c r="C58" s="94"/>
      <c r="D58" s="112"/>
      <c r="E58" s="55" t="s">
        <v>66</v>
      </c>
      <c r="F58" s="4"/>
      <c r="G58" s="4"/>
    </row>
    <row r="59" spans="1:7" ht="20.100000000000001" customHeight="1" x14ac:dyDescent="0.25">
      <c r="A59" s="28" t="s">
        <v>94</v>
      </c>
      <c r="B59" s="98">
        <f>B57-B58</f>
        <v>0</v>
      </c>
      <c r="C59" s="98">
        <f t="shared" ref="C59:D59" si="1">C57-C58</f>
        <v>0</v>
      </c>
      <c r="D59" s="99">
        <f t="shared" si="1"/>
        <v>0</v>
      </c>
      <c r="E59" s="55" t="s">
        <v>66</v>
      </c>
      <c r="F59" s="4"/>
      <c r="G59" s="4"/>
    </row>
    <row r="60" spans="1:7" ht="20.100000000000001" customHeight="1" thickBot="1" x14ac:dyDescent="0.3">
      <c r="A60" s="20" t="s">
        <v>17</v>
      </c>
      <c r="B60" s="100"/>
      <c r="C60" s="100"/>
      <c r="D60" s="113"/>
      <c r="E60" s="55" t="s">
        <v>66</v>
      </c>
      <c r="F60" s="4"/>
      <c r="G60" s="4"/>
    </row>
    <row r="61" spans="1:7" ht="30" customHeight="1" x14ac:dyDescent="0.25">
      <c r="A61" s="21" t="s">
        <v>95</v>
      </c>
      <c r="B61" s="102">
        <f>SUM(B59:B60)</f>
        <v>0</v>
      </c>
      <c r="C61" s="102">
        <f t="shared" ref="C61:D61" si="2">SUM(C59:C60)</f>
        <v>0</v>
      </c>
      <c r="D61" s="102">
        <f t="shared" si="2"/>
        <v>0</v>
      </c>
      <c r="E61" s="55" t="s">
        <v>66</v>
      </c>
      <c r="F61" s="4"/>
      <c r="G61" s="4"/>
    </row>
    <row r="62" spans="1:7" ht="30" customHeight="1" x14ac:dyDescent="0.25">
      <c r="A62" s="57" t="s">
        <v>7</v>
      </c>
      <c r="B62" s="4" t="s">
        <v>64</v>
      </c>
      <c r="C62" s="4" t="s">
        <v>64</v>
      </c>
      <c r="D62" s="4" t="s">
        <v>64</v>
      </c>
      <c r="E62" s="55" t="s">
        <v>66</v>
      </c>
      <c r="F62" s="4"/>
      <c r="G62" s="4"/>
    </row>
    <row r="63" spans="1:7" ht="122.1" customHeight="1" x14ac:dyDescent="0.25">
      <c r="A63" s="56" t="s">
        <v>247</v>
      </c>
      <c r="B63" s="4" t="s">
        <v>64</v>
      </c>
      <c r="C63" s="4" t="s">
        <v>64</v>
      </c>
      <c r="D63" s="4" t="s">
        <v>64</v>
      </c>
      <c r="E63" s="55" t="s">
        <v>66</v>
      </c>
      <c r="F63" s="4"/>
      <c r="G63" s="4"/>
    </row>
    <row r="64" spans="1:7" ht="102.95" customHeight="1" x14ac:dyDescent="0.25">
      <c r="A64" s="56" t="s">
        <v>128</v>
      </c>
      <c r="B64" s="4" t="s">
        <v>64</v>
      </c>
      <c r="C64" s="4" t="s">
        <v>64</v>
      </c>
      <c r="D64" s="4" t="s">
        <v>64</v>
      </c>
      <c r="E64" s="55" t="s">
        <v>66</v>
      </c>
      <c r="F64" s="4"/>
      <c r="G64" s="4"/>
    </row>
    <row r="65" spans="1:7" ht="125.1" customHeight="1" x14ac:dyDescent="0.25">
      <c r="A65" s="56" t="s">
        <v>244</v>
      </c>
      <c r="B65" s="4" t="s">
        <v>64</v>
      </c>
      <c r="C65" s="4" t="s">
        <v>64</v>
      </c>
      <c r="D65" s="4" t="s">
        <v>64</v>
      </c>
      <c r="E65" s="55" t="s">
        <v>66</v>
      </c>
      <c r="F65" s="4"/>
      <c r="G65" s="4"/>
    </row>
    <row r="66" spans="1:7" ht="84" customHeight="1" x14ac:dyDescent="0.25">
      <c r="A66" s="56" t="s">
        <v>129</v>
      </c>
      <c r="B66" s="4" t="s">
        <v>64</v>
      </c>
      <c r="C66" s="4" t="s">
        <v>64</v>
      </c>
      <c r="D66" s="4" t="s">
        <v>64</v>
      </c>
      <c r="E66" s="55" t="s">
        <v>66</v>
      </c>
      <c r="F66" s="4"/>
      <c r="G66" s="4"/>
    </row>
    <row r="67" spans="1:7" ht="120" customHeight="1" x14ac:dyDescent="0.25">
      <c r="A67" s="56" t="s">
        <v>267</v>
      </c>
      <c r="B67" s="4" t="s">
        <v>64</v>
      </c>
      <c r="C67" s="4" t="s">
        <v>64</v>
      </c>
      <c r="D67" s="4" t="s">
        <v>64</v>
      </c>
      <c r="E67" s="55" t="s">
        <v>66</v>
      </c>
      <c r="F67" s="4"/>
      <c r="G67" s="4"/>
    </row>
    <row r="68" spans="1:7" ht="48" customHeight="1" x14ac:dyDescent="0.25">
      <c r="A68" s="56" t="s">
        <v>130</v>
      </c>
      <c r="B68" s="4" t="s">
        <v>64</v>
      </c>
      <c r="C68" s="4" t="s">
        <v>64</v>
      </c>
      <c r="D68" s="4" t="s">
        <v>64</v>
      </c>
      <c r="E68" s="55" t="s">
        <v>66</v>
      </c>
      <c r="F68" s="4"/>
      <c r="G68" s="4"/>
    </row>
    <row r="69" spans="1:7" ht="47.1" customHeight="1" x14ac:dyDescent="0.25">
      <c r="A69" s="56" t="s">
        <v>131</v>
      </c>
      <c r="B69" s="4" t="s">
        <v>64</v>
      </c>
      <c r="C69" s="4" t="s">
        <v>64</v>
      </c>
      <c r="D69" s="4" t="s">
        <v>64</v>
      </c>
      <c r="E69" s="55" t="s">
        <v>66</v>
      </c>
      <c r="F69" s="4"/>
      <c r="G69" s="4"/>
    </row>
    <row r="70" spans="1:7" ht="47.1" customHeight="1" x14ac:dyDescent="0.25">
      <c r="A70" s="56" t="s">
        <v>132</v>
      </c>
      <c r="B70" s="4" t="s">
        <v>64</v>
      </c>
      <c r="C70" s="4" t="s">
        <v>64</v>
      </c>
      <c r="D70" s="4" t="s">
        <v>64</v>
      </c>
      <c r="E70" s="55" t="s">
        <v>66</v>
      </c>
      <c r="F70" s="4"/>
      <c r="G70" s="4"/>
    </row>
    <row r="71" spans="1:7" ht="86.1" customHeight="1" x14ac:dyDescent="0.25">
      <c r="A71" s="56" t="s">
        <v>265</v>
      </c>
      <c r="B71" s="4" t="s">
        <v>64</v>
      </c>
      <c r="C71" s="4" t="s">
        <v>64</v>
      </c>
      <c r="D71" s="4" t="s">
        <v>64</v>
      </c>
      <c r="E71" s="55" t="s">
        <v>66</v>
      </c>
      <c r="F71" s="4"/>
      <c r="G71" s="4"/>
    </row>
    <row r="72" spans="1:7" ht="44.1" customHeight="1" x14ac:dyDescent="0.25">
      <c r="A72" s="59" t="s">
        <v>133</v>
      </c>
      <c r="B72" s="4" t="s">
        <v>64</v>
      </c>
      <c r="C72" s="4" t="s">
        <v>64</v>
      </c>
      <c r="D72" s="4" t="s">
        <v>64</v>
      </c>
      <c r="E72" s="55" t="s">
        <v>66</v>
      </c>
      <c r="F72" s="4"/>
      <c r="G72" s="4"/>
    </row>
    <row r="73" spans="1:7" ht="18.75" x14ac:dyDescent="0.25">
      <c r="A73" s="91" t="s">
        <v>245</v>
      </c>
      <c r="B73" s="4" t="s">
        <v>64</v>
      </c>
      <c r="C73" s="4" t="s">
        <v>64</v>
      </c>
      <c r="D73" s="4" t="s">
        <v>64</v>
      </c>
      <c r="E73" s="55" t="s">
        <v>66</v>
      </c>
      <c r="F73" s="4"/>
      <c r="G73" s="4"/>
    </row>
    <row r="74" spans="1:7" ht="3.95" customHeight="1" x14ac:dyDescent="0.25">
      <c r="A74" s="55" t="s">
        <v>37</v>
      </c>
      <c r="B74" s="55" t="s">
        <v>37</v>
      </c>
      <c r="C74" s="55" t="s">
        <v>37</v>
      </c>
      <c r="D74" s="55" t="s">
        <v>37</v>
      </c>
      <c r="E74" s="55" t="s">
        <v>37</v>
      </c>
      <c r="F74" s="4"/>
      <c r="G74" s="4"/>
    </row>
    <row r="75" spans="1:7" ht="18.75" x14ac:dyDescent="0.25">
      <c r="B75" s="5"/>
      <c r="C75" s="5"/>
      <c r="D75" s="5"/>
      <c r="E75" s="5"/>
      <c r="F75" s="4"/>
      <c r="G75" s="4"/>
    </row>
    <row r="76" spans="1:7" ht="18.75" x14ac:dyDescent="0.25">
      <c r="F76" s="4"/>
      <c r="G76" s="4"/>
    </row>
    <row r="77" spans="1:7" ht="18.75" x14ac:dyDescent="0.25">
      <c r="F77" s="4"/>
      <c r="G77" s="4"/>
    </row>
    <row r="78" spans="1:7" ht="18.75" x14ac:dyDescent="0.25">
      <c r="F78" s="4"/>
      <c r="G78" s="4"/>
    </row>
    <row r="79" spans="1:7" ht="18.75" x14ac:dyDescent="0.25">
      <c r="F79" s="4"/>
      <c r="G79" s="4"/>
    </row>
    <row r="80" spans="1:7" ht="18.75" x14ac:dyDescent="0.25">
      <c r="F80" s="4"/>
      <c r="G80" s="4"/>
    </row>
    <row r="81" spans="6:7" ht="18.75" x14ac:dyDescent="0.25">
      <c r="F81" s="4"/>
      <c r="G81" s="4"/>
    </row>
    <row r="82" spans="6:7" ht="18.75" x14ac:dyDescent="0.25">
      <c r="F82" s="4"/>
      <c r="G82" s="4"/>
    </row>
    <row r="83" spans="6:7" ht="18.75" x14ac:dyDescent="0.25">
      <c r="F83" s="4"/>
      <c r="G83" s="4"/>
    </row>
    <row r="84" spans="6:7" ht="18.75" x14ac:dyDescent="0.25">
      <c r="F84" s="4"/>
      <c r="G84" s="4"/>
    </row>
    <row r="85" spans="6:7" ht="18.75" x14ac:dyDescent="0.25">
      <c r="F85" s="4"/>
      <c r="G85" s="4"/>
    </row>
  </sheetData>
  <sheetProtection sheet="1" objects="1" scenarios="1"/>
  <hyperlinks>
    <hyperlink ref="A4" r:id="rId1" tooltip="Verohallinnon sivujen veroprosenttilaskuri" xr:uid="{934B51DD-C844-964D-8063-13D649514959}"/>
  </hyperlinks>
  <pageMargins left="0.7" right="0.7" top="0.75" bottom="0.75" header="0.3" footer="0.3"/>
  <pageSetup paperSize="9" orientation="portrait" horizontalDpi="0" verticalDpi="0"/>
  <drawing r:id="rId2"/>
  <legacyDrawing r:id="rId3"/>
  <tableParts count="7">
    <tablePart r:id="rId4"/>
    <tablePart r:id="rId5"/>
    <tablePart r:id="rId6"/>
    <tablePart r:id="rId7"/>
    <tablePart r:id="rId8"/>
    <tablePart r:id="rId9"/>
    <tablePart r:id="rId10"/>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A3323-0008-A040-AC50-8CBEEC22E2AB}">
  <dimension ref="A1:Q31"/>
  <sheetViews>
    <sheetView zoomScaleNormal="100" workbookViewId="0">
      <selection activeCell="E2" sqref="E2"/>
    </sheetView>
  </sheetViews>
  <sheetFormatPr defaultColWidth="27" defaultRowHeight="18" x14ac:dyDescent="0.25"/>
  <cols>
    <col min="1" max="1" width="48.875" style="2" customWidth="1"/>
    <col min="2" max="13" width="20.875" style="2" customWidth="1"/>
    <col min="14" max="14" width="25.875" style="2" customWidth="1"/>
    <col min="15" max="15" width="0.625" style="2" customWidth="1"/>
    <col min="16" max="16384" width="27" style="2"/>
  </cols>
  <sheetData>
    <row r="1" spans="1:17" ht="60" customHeight="1" x14ac:dyDescent="0.25">
      <c r="A1" s="4" t="s">
        <v>214</v>
      </c>
      <c r="B1" s="39" t="s">
        <v>64</v>
      </c>
      <c r="C1" s="39" t="s">
        <v>64</v>
      </c>
      <c r="D1" s="39" t="s">
        <v>64</v>
      </c>
      <c r="E1" s="39" t="s">
        <v>64</v>
      </c>
      <c r="F1" s="39" t="s">
        <v>64</v>
      </c>
      <c r="G1" s="39" t="s">
        <v>64</v>
      </c>
      <c r="H1" s="39" t="s">
        <v>64</v>
      </c>
      <c r="I1" s="39" t="s">
        <v>64</v>
      </c>
      <c r="J1" s="39" t="s">
        <v>64</v>
      </c>
      <c r="K1" s="39" t="s">
        <v>64</v>
      </c>
      <c r="L1" s="39" t="s">
        <v>64</v>
      </c>
      <c r="M1" s="39" t="s">
        <v>64</v>
      </c>
      <c r="N1" s="39" t="s">
        <v>64</v>
      </c>
      <c r="O1" s="55" t="s">
        <v>67</v>
      </c>
    </row>
    <row r="2" spans="1:17" ht="50.1" customHeight="1" x14ac:dyDescent="0.25">
      <c r="A2" s="62" t="s">
        <v>177</v>
      </c>
      <c r="B2" s="39" t="s">
        <v>64</v>
      </c>
      <c r="C2" s="39" t="s">
        <v>64</v>
      </c>
      <c r="D2" s="39" t="s">
        <v>64</v>
      </c>
      <c r="E2" s="39" t="s">
        <v>64</v>
      </c>
      <c r="F2" s="39" t="s">
        <v>64</v>
      </c>
      <c r="G2" s="39" t="s">
        <v>64</v>
      </c>
      <c r="H2" s="39" t="s">
        <v>64</v>
      </c>
      <c r="I2" s="39" t="s">
        <v>64</v>
      </c>
      <c r="J2" s="39" t="s">
        <v>64</v>
      </c>
      <c r="K2" s="39" t="s">
        <v>64</v>
      </c>
      <c r="L2" s="39" t="s">
        <v>64</v>
      </c>
      <c r="M2" s="39" t="s">
        <v>64</v>
      </c>
      <c r="N2" s="39" t="s">
        <v>64</v>
      </c>
      <c r="O2" s="55" t="s">
        <v>67</v>
      </c>
    </row>
    <row r="3" spans="1:17" ht="50.1" customHeight="1" x14ac:dyDescent="0.25">
      <c r="A3" s="71" t="s">
        <v>213</v>
      </c>
      <c r="B3" s="209" t="s">
        <v>192</v>
      </c>
      <c r="C3" s="210"/>
      <c r="D3" s="209" t="s">
        <v>193</v>
      </c>
      <c r="E3" s="210"/>
      <c r="F3" s="209" t="s">
        <v>194</v>
      </c>
      <c r="G3" s="210"/>
      <c r="H3" s="209" t="s">
        <v>195</v>
      </c>
      <c r="I3" s="210"/>
      <c r="J3" s="209" t="s">
        <v>196</v>
      </c>
      <c r="K3" s="210"/>
      <c r="L3" s="209" t="s">
        <v>197</v>
      </c>
      <c r="M3" s="210"/>
      <c r="N3" s="39" t="s">
        <v>64</v>
      </c>
      <c r="O3" s="55" t="s">
        <v>67</v>
      </c>
    </row>
    <row r="4" spans="1:17" ht="50.1" customHeight="1" x14ac:dyDescent="0.25">
      <c r="A4" s="72" t="s">
        <v>206</v>
      </c>
      <c r="B4" s="73" t="s">
        <v>207</v>
      </c>
      <c r="C4" s="74" t="s">
        <v>199</v>
      </c>
      <c r="D4" s="73" t="s">
        <v>208</v>
      </c>
      <c r="E4" s="74" t="s">
        <v>200</v>
      </c>
      <c r="F4" s="73" t="s">
        <v>209</v>
      </c>
      <c r="G4" s="74" t="s">
        <v>201</v>
      </c>
      <c r="H4" s="73" t="s">
        <v>210</v>
      </c>
      <c r="I4" s="74" t="s">
        <v>202</v>
      </c>
      <c r="J4" s="73" t="s">
        <v>211</v>
      </c>
      <c r="K4" s="74" t="s">
        <v>203</v>
      </c>
      <c r="L4" s="73" t="s">
        <v>212</v>
      </c>
      <c r="M4" s="74" t="s">
        <v>204</v>
      </c>
      <c r="N4" s="64" t="s">
        <v>64</v>
      </c>
      <c r="O4" s="55" t="s">
        <v>67</v>
      </c>
    </row>
    <row r="5" spans="1:17" ht="20.100000000000001" customHeight="1" thickBot="1" x14ac:dyDescent="0.3">
      <c r="A5" s="63" t="s">
        <v>205</v>
      </c>
      <c r="B5" s="118"/>
      <c r="C5" s="119"/>
      <c r="D5" s="118"/>
      <c r="E5" s="119"/>
      <c r="F5" s="118"/>
      <c r="G5" s="119"/>
      <c r="H5" s="118"/>
      <c r="I5" s="119"/>
      <c r="J5" s="118"/>
      <c r="K5" s="119"/>
      <c r="L5" s="118"/>
      <c r="M5" s="119"/>
      <c r="N5" s="68" t="s">
        <v>64</v>
      </c>
      <c r="O5" s="55" t="s">
        <v>67</v>
      </c>
    </row>
    <row r="6" spans="1:17" ht="30" customHeight="1" x14ac:dyDescent="0.25">
      <c r="A6" s="54" t="s">
        <v>56</v>
      </c>
      <c r="B6" s="120" t="s">
        <v>243</v>
      </c>
      <c r="C6" s="121">
        <f>B5-C5</f>
        <v>0</v>
      </c>
      <c r="D6" s="120" t="s">
        <v>64</v>
      </c>
      <c r="E6" s="121">
        <f>D5-E5</f>
        <v>0</v>
      </c>
      <c r="F6" s="120" t="s">
        <v>64</v>
      </c>
      <c r="G6" s="121">
        <f>F5-G5</f>
        <v>0</v>
      </c>
      <c r="H6" s="120" t="s">
        <v>64</v>
      </c>
      <c r="I6" s="121">
        <f>H5-I5</f>
        <v>0</v>
      </c>
      <c r="J6" s="120" t="s">
        <v>64</v>
      </c>
      <c r="K6" s="121">
        <f>J5-K5</f>
        <v>0</v>
      </c>
      <c r="L6" s="120" t="s">
        <v>64</v>
      </c>
      <c r="M6" s="121">
        <f>L5-M5</f>
        <v>0</v>
      </c>
      <c r="N6" s="69" t="s">
        <v>64</v>
      </c>
      <c r="O6" s="55" t="s">
        <v>67</v>
      </c>
    </row>
    <row r="7" spans="1:17" ht="50.1" customHeight="1" x14ac:dyDescent="0.25">
      <c r="A7" s="65" t="s">
        <v>198</v>
      </c>
      <c r="B7" s="67" t="s">
        <v>137</v>
      </c>
      <c r="C7" s="70" t="s">
        <v>215</v>
      </c>
      <c r="D7" s="67" t="s">
        <v>138</v>
      </c>
      <c r="E7" s="70" t="s">
        <v>216</v>
      </c>
      <c r="F7" s="67" t="s">
        <v>139</v>
      </c>
      <c r="G7" s="70" t="s">
        <v>217</v>
      </c>
      <c r="H7" s="67" t="s">
        <v>140</v>
      </c>
      <c r="I7" s="70" t="s">
        <v>218</v>
      </c>
      <c r="J7" s="67" t="s">
        <v>141</v>
      </c>
      <c r="K7" s="70" t="s">
        <v>219</v>
      </c>
      <c r="L7" s="67" t="s">
        <v>142</v>
      </c>
      <c r="M7" s="70" t="s">
        <v>220</v>
      </c>
      <c r="N7" s="66" t="s">
        <v>149</v>
      </c>
      <c r="O7" s="55" t="s">
        <v>67</v>
      </c>
      <c r="P7" s="4"/>
      <c r="Q7" s="5"/>
    </row>
    <row r="8" spans="1:17" ht="20.100000000000001" customHeight="1" x14ac:dyDescent="0.25">
      <c r="A8" s="49" t="s">
        <v>180</v>
      </c>
      <c r="B8" s="157"/>
      <c r="C8" s="122">
        <f t="shared" ref="C8:C13" si="0">B8*C$6</f>
        <v>0</v>
      </c>
      <c r="D8" s="157"/>
      <c r="E8" s="122">
        <f t="shared" ref="E8:E13" si="1">D8*E$6</f>
        <v>0</v>
      </c>
      <c r="F8" s="157"/>
      <c r="G8" s="122">
        <f t="shared" ref="G8:G13" si="2">F8*G$6</f>
        <v>0</v>
      </c>
      <c r="H8" s="157"/>
      <c r="I8" s="122">
        <f t="shared" ref="I8:I13" si="3">H8*I$6</f>
        <v>0</v>
      </c>
      <c r="J8" s="157"/>
      <c r="K8" s="122">
        <f t="shared" ref="K8:K13" si="4">J8*K$6</f>
        <v>0</v>
      </c>
      <c r="L8" s="157"/>
      <c r="M8" s="122">
        <f t="shared" ref="M8:M13" si="5">L8*M$6</f>
        <v>0</v>
      </c>
      <c r="N8" s="123">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8" s="55" t="s">
        <v>67</v>
      </c>
      <c r="P8" s="4"/>
      <c r="Q8" s="5"/>
    </row>
    <row r="9" spans="1:17" ht="20.100000000000001" customHeight="1" x14ac:dyDescent="0.25">
      <c r="A9" s="50" t="s">
        <v>181</v>
      </c>
      <c r="B9" s="158"/>
      <c r="C9" s="124">
        <f t="shared" si="0"/>
        <v>0</v>
      </c>
      <c r="D9" s="158"/>
      <c r="E9" s="124">
        <f t="shared" si="1"/>
        <v>0</v>
      </c>
      <c r="F9" s="158"/>
      <c r="G9" s="124">
        <f t="shared" si="2"/>
        <v>0</v>
      </c>
      <c r="H9" s="158"/>
      <c r="I9" s="124">
        <f t="shared" si="3"/>
        <v>0</v>
      </c>
      <c r="J9" s="158"/>
      <c r="K9" s="124">
        <f t="shared" si="4"/>
        <v>0</v>
      </c>
      <c r="L9" s="158"/>
      <c r="M9" s="124">
        <f t="shared" si="5"/>
        <v>0</v>
      </c>
      <c r="N9" s="125">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9" s="55" t="s">
        <v>67</v>
      </c>
      <c r="P9" s="4"/>
      <c r="Q9" s="5"/>
    </row>
    <row r="10" spans="1:17" ht="20.100000000000001" customHeight="1" x14ac:dyDescent="0.25">
      <c r="A10" s="51" t="s">
        <v>182</v>
      </c>
      <c r="B10" s="159"/>
      <c r="C10" s="126">
        <f t="shared" si="0"/>
        <v>0</v>
      </c>
      <c r="D10" s="159"/>
      <c r="E10" s="126">
        <f t="shared" si="1"/>
        <v>0</v>
      </c>
      <c r="F10" s="159"/>
      <c r="G10" s="126">
        <f t="shared" si="2"/>
        <v>0</v>
      </c>
      <c r="H10" s="159"/>
      <c r="I10" s="126">
        <f t="shared" si="3"/>
        <v>0</v>
      </c>
      <c r="J10" s="159"/>
      <c r="K10" s="126">
        <f t="shared" si="4"/>
        <v>0</v>
      </c>
      <c r="L10" s="159"/>
      <c r="M10" s="126">
        <f t="shared" si="5"/>
        <v>0</v>
      </c>
      <c r="N10" s="127">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0" s="55" t="s">
        <v>67</v>
      </c>
      <c r="P10" s="4"/>
      <c r="Q10" s="5"/>
    </row>
    <row r="11" spans="1:17" ht="20.100000000000001" customHeight="1" x14ac:dyDescent="0.25">
      <c r="A11" s="52" t="s">
        <v>183</v>
      </c>
      <c r="B11" s="160"/>
      <c r="C11" s="128">
        <f t="shared" si="0"/>
        <v>0</v>
      </c>
      <c r="D11" s="160"/>
      <c r="E11" s="128">
        <f t="shared" si="1"/>
        <v>0</v>
      </c>
      <c r="F11" s="160"/>
      <c r="G11" s="128">
        <f t="shared" si="2"/>
        <v>0</v>
      </c>
      <c r="H11" s="160"/>
      <c r="I11" s="128">
        <f t="shared" si="3"/>
        <v>0</v>
      </c>
      <c r="J11" s="160"/>
      <c r="K11" s="128">
        <f t="shared" si="4"/>
        <v>0</v>
      </c>
      <c r="L11" s="160"/>
      <c r="M11" s="128">
        <f t="shared" si="5"/>
        <v>0</v>
      </c>
      <c r="N11" s="129">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1" s="55" t="s">
        <v>67</v>
      </c>
      <c r="P11" s="4"/>
      <c r="Q11" s="5"/>
    </row>
    <row r="12" spans="1:17" ht="20.100000000000001" customHeight="1" x14ac:dyDescent="0.25">
      <c r="A12" s="50" t="s">
        <v>184</v>
      </c>
      <c r="B12" s="158"/>
      <c r="C12" s="124">
        <f t="shared" si="0"/>
        <v>0</v>
      </c>
      <c r="D12" s="158"/>
      <c r="E12" s="124">
        <f t="shared" si="1"/>
        <v>0</v>
      </c>
      <c r="F12" s="158"/>
      <c r="G12" s="124">
        <f t="shared" si="2"/>
        <v>0</v>
      </c>
      <c r="H12" s="158"/>
      <c r="I12" s="124">
        <f t="shared" si="3"/>
        <v>0</v>
      </c>
      <c r="J12" s="158"/>
      <c r="K12" s="124">
        <f t="shared" si="4"/>
        <v>0</v>
      </c>
      <c r="L12" s="158"/>
      <c r="M12" s="124">
        <f t="shared" si="5"/>
        <v>0</v>
      </c>
      <c r="N12" s="125">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2" s="55" t="s">
        <v>67</v>
      </c>
      <c r="P12" s="4"/>
      <c r="Q12" s="5"/>
    </row>
    <row r="13" spans="1:17" ht="20.100000000000001" customHeight="1" thickBot="1" x14ac:dyDescent="0.3">
      <c r="A13" s="53" t="s">
        <v>185</v>
      </c>
      <c r="B13" s="161"/>
      <c r="C13" s="126">
        <f t="shared" si="0"/>
        <v>0</v>
      </c>
      <c r="D13" s="161"/>
      <c r="E13" s="126">
        <f t="shared" si="1"/>
        <v>0</v>
      </c>
      <c r="F13" s="161"/>
      <c r="G13" s="126">
        <f t="shared" si="2"/>
        <v>0</v>
      </c>
      <c r="H13" s="161"/>
      <c r="I13" s="126">
        <f t="shared" si="3"/>
        <v>0</v>
      </c>
      <c r="J13" s="161"/>
      <c r="K13" s="126">
        <f t="shared" si="4"/>
        <v>0</v>
      </c>
      <c r="L13" s="161"/>
      <c r="M13" s="126">
        <f t="shared" si="5"/>
        <v>0</v>
      </c>
      <c r="N13" s="127">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3" s="55" t="s">
        <v>67</v>
      </c>
      <c r="P13" s="4"/>
      <c r="Q13" s="5"/>
    </row>
    <row r="14" spans="1:17" ht="30" customHeight="1" thickBot="1" x14ac:dyDescent="0.3">
      <c r="A14" s="181" t="s">
        <v>59</v>
      </c>
      <c r="B14" s="182">
        <f>SUM(B8:B13)</f>
        <v>0</v>
      </c>
      <c r="C14" s="183" t="s">
        <v>64</v>
      </c>
      <c r="D14" s="182">
        <f t="shared" ref="D14:L14" si="6">SUM(D8:D13)</f>
        <v>0</v>
      </c>
      <c r="E14" s="183" t="s">
        <v>64</v>
      </c>
      <c r="F14" s="182">
        <f t="shared" si="6"/>
        <v>0</v>
      </c>
      <c r="G14" s="183" t="s">
        <v>64</v>
      </c>
      <c r="H14" s="182">
        <f t="shared" si="6"/>
        <v>0</v>
      </c>
      <c r="I14" s="183" t="s">
        <v>64</v>
      </c>
      <c r="J14" s="182">
        <f t="shared" si="6"/>
        <v>0</v>
      </c>
      <c r="K14" s="183" t="s">
        <v>64</v>
      </c>
      <c r="L14" s="184">
        <f t="shared" si="6"/>
        <v>0</v>
      </c>
      <c r="M14" s="183" t="s">
        <v>64</v>
      </c>
      <c r="N14" s="185" t="str">
        <f>CONCATENATE(SUM(Tuotteiden_myyntimäärä_taulukko[[#This Row],[Määrä 1]],Tuotteiden_myyntimäärä_taulukko[[#This Row],[Määrä 2]],Tuotteiden_myyntimäärä_taulukko[[#This Row],[Määrä 3]],Tuotteiden_myyntimäärä_taulukko[[#This Row],[Määrä 4]],Tuotteiden_myyntimäärä_taulukko[[#This Row],[Määrä 5]],Tuotteiden_myyntimäärä_taulukko[[#This Row],[Määrä 6]])," kpl")</f>
        <v>0 kpl</v>
      </c>
      <c r="O14" s="55" t="s">
        <v>67</v>
      </c>
      <c r="P14" s="4"/>
      <c r="Q14" s="5"/>
    </row>
    <row r="15" spans="1:17" ht="30" customHeight="1" thickBot="1" x14ac:dyDescent="0.3">
      <c r="A15" s="181" t="s">
        <v>57</v>
      </c>
      <c r="B15" s="186" t="s">
        <v>64</v>
      </c>
      <c r="C15" s="121">
        <f>SUM(C8:C13)</f>
        <v>0</v>
      </c>
      <c r="D15" s="186" t="s">
        <v>64</v>
      </c>
      <c r="E15" s="121">
        <f>SUM(E8:E13)</f>
        <v>0</v>
      </c>
      <c r="F15" s="186" t="s">
        <v>64</v>
      </c>
      <c r="G15" s="121">
        <f>SUM(G8:G13)</f>
        <v>0</v>
      </c>
      <c r="H15" s="186" t="s">
        <v>64</v>
      </c>
      <c r="I15" s="121">
        <f>SUM(I8:I13)</f>
        <v>0</v>
      </c>
      <c r="J15" s="186" t="s">
        <v>64</v>
      </c>
      <c r="K15" s="121">
        <f>SUM(K8:K13)</f>
        <v>0</v>
      </c>
      <c r="L15" s="186" t="s">
        <v>64</v>
      </c>
      <c r="M15" s="121">
        <f>SUM(M8:M13)</f>
        <v>0</v>
      </c>
      <c r="N15" s="187">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5" s="55" t="s">
        <v>67</v>
      </c>
    </row>
    <row r="16" spans="1:17" ht="30" customHeight="1" thickBot="1" x14ac:dyDescent="0.3">
      <c r="A16" s="188" t="s">
        <v>58</v>
      </c>
      <c r="B16" s="186" t="s">
        <v>64</v>
      </c>
      <c r="C16" s="121">
        <f>B14*B5</f>
        <v>0</v>
      </c>
      <c r="D16" s="186" t="s">
        <v>64</v>
      </c>
      <c r="E16" s="121">
        <f>D14*D5</f>
        <v>0</v>
      </c>
      <c r="F16" s="186" t="s">
        <v>64</v>
      </c>
      <c r="G16" s="121">
        <f>F14*F5</f>
        <v>0</v>
      </c>
      <c r="H16" s="186" t="s">
        <v>64</v>
      </c>
      <c r="I16" s="121">
        <f>H14*H5</f>
        <v>0</v>
      </c>
      <c r="J16" s="186" t="s">
        <v>64</v>
      </c>
      <c r="K16" s="121">
        <f>J14*J5</f>
        <v>0</v>
      </c>
      <c r="L16" s="186" t="s">
        <v>64</v>
      </c>
      <c r="M16" s="121">
        <f>L14*L5</f>
        <v>0</v>
      </c>
      <c r="N16" s="187">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6" s="55" t="s">
        <v>67</v>
      </c>
    </row>
    <row r="17" spans="1:15" ht="30" customHeight="1" thickBot="1" x14ac:dyDescent="0.3">
      <c r="A17" s="189" t="s">
        <v>55</v>
      </c>
      <c r="B17" s="186" t="s">
        <v>64</v>
      </c>
      <c r="C17" s="121">
        <f>B14*C5</f>
        <v>0</v>
      </c>
      <c r="D17" s="186" t="s">
        <v>64</v>
      </c>
      <c r="E17" s="121">
        <f>D14*E5</f>
        <v>0</v>
      </c>
      <c r="F17" s="186" t="s">
        <v>64</v>
      </c>
      <c r="G17" s="121">
        <f>F14*G5</f>
        <v>0</v>
      </c>
      <c r="H17" s="186" t="s">
        <v>64</v>
      </c>
      <c r="I17" s="121">
        <f>H14*I5</f>
        <v>0</v>
      </c>
      <c r="J17" s="186" t="s">
        <v>64</v>
      </c>
      <c r="K17" s="121">
        <f>J14*K5</f>
        <v>0</v>
      </c>
      <c r="L17" s="190" t="s">
        <v>64</v>
      </c>
      <c r="M17" s="121">
        <f>L14*M5</f>
        <v>0</v>
      </c>
      <c r="N17" s="187">
        <f>SUM(Tuotteiden_myyntimäärä_taulukko[[#This Row],[Kate 
yhteensä 1]],Tuotteiden_myyntimäärä_taulukko[[#This Row],[Kate 
yhteensä 2]],Tuotteiden_myyntimäärä_taulukko[[#This Row],[Kate 
yhteensä 3]],Tuotteiden_myyntimäärä_taulukko[[#This Row],[Kate 
yhteensä 4]],Tuotteiden_myyntimäärä_taulukko[[#This Row],[Kate 
yhteensä 5]],Tuotteiden_myyntimäärä_taulukko[[#This Row],[Kate 
yhteensä 6]])</f>
        <v>0</v>
      </c>
      <c r="O17" s="55" t="s">
        <v>67</v>
      </c>
    </row>
    <row r="18" spans="1:15" ht="30" customHeight="1" x14ac:dyDescent="0.25">
      <c r="A18" s="191" t="s">
        <v>60</v>
      </c>
      <c r="B18" s="192" t="s">
        <v>61</v>
      </c>
      <c r="C18" s="193" t="s">
        <v>62</v>
      </c>
      <c r="D18" s="39" t="s">
        <v>64</v>
      </c>
      <c r="E18" s="39" t="s">
        <v>64</v>
      </c>
      <c r="F18" s="39" t="s">
        <v>64</v>
      </c>
      <c r="G18" s="39" t="s">
        <v>64</v>
      </c>
      <c r="H18" s="39" t="s">
        <v>64</v>
      </c>
      <c r="I18" s="39" t="s">
        <v>64</v>
      </c>
      <c r="J18" s="39" t="s">
        <v>64</v>
      </c>
      <c r="K18" s="39" t="s">
        <v>64</v>
      </c>
      <c r="L18" s="39" t="s">
        <v>64</v>
      </c>
      <c r="M18" s="39" t="s">
        <v>64</v>
      </c>
      <c r="N18" s="39" t="s">
        <v>64</v>
      </c>
      <c r="O18" s="55" t="s">
        <v>67</v>
      </c>
    </row>
    <row r="19" spans="1:15" ht="20.100000000000001" customHeight="1" x14ac:dyDescent="0.25">
      <c r="A19" s="194" t="s">
        <v>24</v>
      </c>
      <c r="B19" s="107">
        <f>N16</f>
        <v>0</v>
      </c>
      <c r="C19" s="93">
        <f>Myynnin_yhteenveto_taulukko[[#This Row],[Kuukaudessa]]*12</f>
        <v>0</v>
      </c>
      <c r="D19" s="39" t="s">
        <v>64</v>
      </c>
      <c r="E19" s="39" t="s">
        <v>64</v>
      </c>
      <c r="F19" s="39" t="s">
        <v>64</v>
      </c>
      <c r="G19" s="39" t="s">
        <v>64</v>
      </c>
      <c r="H19" s="39" t="s">
        <v>64</v>
      </c>
      <c r="I19" s="39" t="s">
        <v>64</v>
      </c>
      <c r="J19" s="39" t="s">
        <v>64</v>
      </c>
      <c r="K19" s="39" t="s">
        <v>64</v>
      </c>
      <c r="L19" s="39" t="s">
        <v>64</v>
      </c>
      <c r="M19" s="39" t="s">
        <v>64</v>
      </c>
      <c r="N19" s="39" t="s">
        <v>64</v>
      </c>
      <c r="O19" s="55" t="s">
        <v>67</v>
      </c>
    </row>
    <row r="20" spans="1:15" ht="20.100000000000001" customHeight="1" x14ac:dyDescent="0.25">
      <c r="A20" s="195" t="s">
        <v>55</v>
      </c>
      <c r="B20" s="109">
        <f>N17</f>
        <v>0</v>
      </c>
      <c r="C20" s="95">
        <f>Myynnin_yhteenveto_taulukko[[#This Row],[Kuukaudessa]]*12</f>
        <v>0</v>
      </c>
      <c r="D20" s="39" t="s">
        <v>64</v>
      </c>
      <c r="E20" s="39" t="s">
        <v>64</v>
      </c>
      <c r="F20" s="39" t="s">
        <v>64</v>
      </c>
      <c r="G20" s="39" t="s">
        <v>64</v>
      </c>
      <c r="H20" s="39" t="s">
        <v>64</v>
      </c>
      <c r="I20" s="39" t="s">
        <v>64</v>
      </c>
      <c r="J20" s="39" t="s">
        <v>64</v>
      </c>
      <c r="K20" s="39" t="s">
        <v>64</v>
      </c>
      <c r="L20" s="39" t="s">
        <v>64</v>
      </c>
      <c r="M20" s="39" t="s">
        <v>64</v>
      </c>
      <c r="N20" s="39" t="s">
        <v>64</v>
      </c>
      <c r="O20" s="55" t="s">
        <v>67</v>
      </c>
    </row>
    <row r="21" spans="1:15" ht="20.100000000000001" customHeight="1" x14ac:dyDescent="0.25">
      <c r="A21" s="195" t="s">
        <v>57</v>
      </c>
      <c r="B21" s="109">
        <f>N15</f>
        <v>0</v>
      </c>
      <c r="C21" s="95">
        <f>Myynnin_yhteenveto_taulukko[[#This Row],[Kuukaudessa]]*12</f>
        <v>0</v>
      </c>
      <c r="D21" s="39" t="s">
        <v>64</v>
      </c>
      <c r="E21" s="39" t="s">
        <v>64</v>
      </c>
      <c r="F21" s="39" t="s">
        <v>64</v>
      </c>
      <c r="G21" s="39" t="s">
        <v>64</v>
      </c>
      <c r="H21" s="39" t="s">
        <v>64</v>
      </c>
      <c r="I21" s="39" t="s">
        <v>64</v>
      </c>
      <c r="J21" s="39" t="s">
        <v>64</v>
      </c>
      <c r="K21" s="39" t="s">
        <v>64</v>
      </c>
      <c r="L21" s="39" t="s">
        <v>64</v>
      </c>
      <c r="M21" s="39" t="s">
        <v>64</v>
      </c>
      <c r="N21" s="39" t="s">
        <v>64</v>
      </c>
      <c r="O21" s="55" t="s">
        <v>67</v>
      </c>
    </row>
    <row r="22" spans="1:15" ht="20.100000000000001" customHeight="1" x14ac:dyDescent="0.25">
      <c r="A22" s="196" t="s">
        <v>178</v>
      </c>
      <c r="B22" s="108">
        <f>Kannattavuuslaskelma!B40</f>
        <v>0</v>
      </c>
      <c r="C22" s="95">
        <f>Myynnin_yhteenveto_taulukko[[#This Row],[Kuukaudessa]]*12</f>
        <v>0</v>
      </c>
      <c r="D22" s="39" t="s">
        <v>64</v>
      </c>
      <c r="E22" s="39" t="s">
        <v>64</v>
      </c>
      <c r="F22" s="39" t="s">
        <v>64</v>
      </c>
      <c r="G22" s="39" t="s">
        <v>64</v>
      </c>
      <c r="H22" s="39" t="s">
        <v>64</v>
      </c>
      <c r="I22" s="39" t="s">
        <v>64</v>
      </c>
      <c r="J22" s="39" t="s">
        <v>64</v>
      </c>
      <c r="K22" s="39" t="s">
        <v>64</v>
      </c>
      <c r="L22" s="39" t="s">
        <v>64</v>
      </c>
      <c r="M22" s="39" t="s">
        <v>64</v>
      </c>
      <c r="N22" s="39" t="s">
        <v>64</v>
      </c>
      <c r="O22" s="55" t="s">
        <v>67</v>
      </c>
    </row>
    <row r="23" spans="1:15" ht="45" customHeight="1" x14ac:dyDescent="0.25">
      <c r="A23" s="196" t="s">
        <v>179</v>
      </c>
      <c r="B23" s="109">
        <f>B21-B22</f>
        <v>0</v>
      </c>
      <c r="C23" s="197" t="s">
        <v>64</v>
      </c>
      <c r="D23" s="39" t="s">
        <v>64</v>
      </c>
      <c r="E23" s="39" t="s">
        <v>64</v>
      </c>
      <c r="F23" s="39" t="s">
        <v>64</v>
      </c>
      <c r="G23" s="39" t="s">
        <v>64</v>
      </c>
      <c r="H23" s="39" t="s">
        <v>64</v>
      </c>
      <c r="I23" s="39" t="s">
        <v>64</v>
      </c>
      <c r="J23" s="39" t="s">
        <v>64</v>
      </c>
      <c r="K23" s="39" t="s">
        <v>64</v>
      </c>
      <c r="L23" s="39" t="s">
        <v>64</v>
      </c>
      <c r="M23" s="39" t="s">
        <v>64</v>
      </c>
      <c r="N23" s="39" t="s">
        <v>64</v>
      </c>
      <c r="O23" s="55" t="s">
        <v>67</v>
      </c>
    </row>
    <row r="24" spans="1:15" ht="45" customHeight="1" x14ac:dyDescent="0.25">
      <c r="A24" s="198" t="s">
        <v>250</v>
      </c>
      <c r="B24" s="199" t="str">
        <f>IF(B21=0,"Myyntikate 0 €",IF(B21&gt;B22,B23/B19,"Kate ei riittävä"))</f>
        <v>Myyntikate 0 €</v>
      </c>
      <c r="C24" s="200" t="s">
        <v>64</v>
      </c>
      <c r="D24" s="39" t="s">
        <v>64</v>
      </c>
      <c r="E24" s="39" t="s">
        <v>64</v>
      </c>
      <c r="F24" s="39" t="s">
        <v>64</v>
      </c>
      <c r="G24" s="39" t="s">
        <v>64</v>
      </c>
      <c r="H24" s="39" t="s">
        <v>64</v>
      </c>
      <c r="I24" s="39" t="s">
        <v>64</v>
      </c>
      <c r="J24" s="39" t="s">
        <v>64</v>
      </c>
      <c r="K24" s="39" t="s">
        <v>64</v>
      </c>
      <c r="L24" s="39" t="s">
        <v>64</v>
      </c>
      <c r="M24" s="39" t="s">
        <v>64</v>
      </c>
      <c r="N24" s="39" t="s">
        <v>64</v>
      </c>
      <c r="O24" s="55" t="s">
        <v>67</v>
      </c>
    </row>
    <row r="25" spans="1:15" ht="18.75" x14ac:dyDescent="0.25">
      <c r="A25" s="179" t="s">
        <v>245</v>
      </c>
      <c r="B25" s="177" t="s">
        <v>64</v>
      </c>
      <c r="C25" s="177" t="s">
        <v>64</v>
      </c>
      <c r="D25" s="39" t="s">
        <v>64</v>
      </c>
      <c r="E25" s="39" t="s">
        <v>64</v>
      </c>
      <c r="F25" s="39" t="s">
        <v>64</v>
      </c>
      <c r="G25" s="39" t="s">
        <v>64</v>
      </c>
      <c r="H25" s="39" t="s">
        <v>64</v>
      </c>
      <c r="I25" s="39" t="s">
        <v>64</v>
      </c>
      <c r="J25" s="39" t="s">
        <v>64</v>
      </c>
      <c r="K25" s="39" t="s">
        <v>64</v>
      </c>
      <c r="L25" s="39" t="s">
        <v>64</v>
      </c>
      <c r="M25" s="39" t="s">
        <v>64</v>
      </c>
      <c r="N25" s="39" t="s">
        <v>64</v>
      </c>
      <c r="O25" s="55" t="s">
        <v>67</v>
      </c>
    </row>
    <row r="26" spans="1:15" ht="3.95" customHeight="1" x14ac:dyDescent="0.25">
      <c r="A26" s="55" t="s">
        <v>54</v>
      </c>
      <c r="B26" s="55" t="s">
        <v>54</v>
      </c>
      <c r="C26" s="55" t="s">
        <v>54</v>
      </c>
      <c r="D26" s="55" t="s">
        <v>54</v>
      </c>
      <c r="E26" s="55" t="s">
        <v>54</v>
      </c>
      <c r="F26" s="55" t="s">
        <v>54</v>
      </c>
      <c r="G26" s="55" t="s">
        <v>54</v>
      </c>
      <c r="H26" s="55" t="s">
        <v>54</v>
      </c>
      <c r="I26" s="55" t="s">
        <v>54</v>
      </c>
      <c r="J26" s="55" t="s">
        <v>54</v>
      </c>
      <c r="K26" s="55" t="s">
        <v>54</v>
      </c>
      <c r="L26" s="55" t="s">
        <v>54</v>
      </c>
      <c r="M26" s="55" t="s">
        <v>54</v>
      </c>
      <c r="N26" s="55" t="s">
        <v>54</v>
      </c>
      <c r="O26" s="55" t="s">
        <v>54</v>
      </c>
    </row>
    <row r="27" spans="1:15" x14ac:dyDescent="0.25">
      <c r="A27" s="91"/>
      <c r="B27" s="5"/>
      <c r="C27" s="5"/>
      <c r="D27" s="5"/>
      <c r="E27" s="5"/>
      <c r="F27" s="5"/>
      <c r="G27" s="5"/>
      <c r="H27" s="5"/>
      <c r="I27" s="5"/>
      <c r="J27" s="5"/>
    </row>
    <row r="28" spans="1:15" x14ac:dyDescent="0.25">
      <c r="A28" s="5"/>
      <c r="B28" s="5"/>
      <c r="C28" s="5"/>
      <c r="D28" s="5"/>
      <c r="E28" s="5"/>
      <c r="F28" s="5"/>
      <c r="G28" s="5"/>
      <c r="H28" s="5"/>
      <c r="I28" s="5"/>
      <c r="J28" s="5"/>
    </row>
    <row r="29" spans="1:15" x14ac:dyDescent="0.25">
      <c r="A29" s="5"/>
      <c r="B29" s="5"/>
      <c r="C29" s="5"/>
      <c r="D29" s="5"/>
      <c r="E29" s="5"/>
      <c r="F29" s="5"/>
      <c r="G29" s="5"/>
      <c r="H29" s="5"/>
      <c r="I29" s="5"/>
      <c r="J29" s="5"/>
    </row>
    <row r="30" spans="1:15" x14ac:dyDescent="0.25">
      <c r="D30" s="5"/>
      <c r="E30" s="5"/>
      <c r="F30" s="5"/>
      <c r="G30" s="5"/>
      <c r="H30" s="5"/>
      <c r="I30" s="5"/>
      <c r="J30" s="5"/>
    </row>
    <row r="31" spans="1:15" x14ac:dyDescent="0.25">
      <c r="D31" s="5"/>
      <c r="E31" s="5"/>
      <c r="F31" s="5"/>
      <c r="G31" s="5"/>
      <c r="H31" s="5"/>
    </row>
  </sheetData>
  <sheetProtection sheet="1" objects="1" scenarios="1"/>
  <mergeCells count="6">
    <mergeCell ref="L3:M3"/>
    <mergeCell ref="B3:C3"/>
    <mergeCell ref="D3:E3"/>
    <mergeCell ref="F3:G3"/>
    <mergeCell ref="H3:I3"/>
    <mergeCell ref="J3:K3"/>
  </mergeCells>
  <phoneticPr fontId="14" type="noConversion"/>
  <pageMargins left="0.7" right="0.7" top="0.75" bottom="0.75" header="0.3" footer="0.3"/>
  <pageSetup paperSize="9" orientation="portrait" horizontalDpi="0" verticalDpi="0"/>
  <drawing r:id="rId1"/>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CF083-D7DF-F747-85FF-2A751224AEEE}">
  <dimension ref="A1:NZ47"/>
  <sheetViews>
    <sheetView zoomScale="80" zoomScaleNormal="80" workbookViewId="0">
      <selection activeCell="F1" sqref="F1"/>
    </sheetView>
  </sheetViews>
  <sheetFormatPr defaultColWidth="10.875" defaultRowHeight="18" x14ac:dyDescent="0.25"/>
  <cols>
    <col min="1" max="1" width="70.875" style="2" customWidth="1"/>
    <col min="2" max="15" width="23.875" style="2" customWidth="1"/>
    <col min="16" max="16" width="0.625" style="2" customWidth="1"/>
    <col min="17" max="16384" width="10.875" style="2"/>
  </cols>
  <sheetData>
    <row r="1" spans="1:20" ht="60" customHeight="1" x14ac:dyDescent="0.25">
      <c r="A1" s="55" t="s">
        <v>227</v>
      </c>
      <c r="B1" s="39" t="s">
        <v>64</v>
      </c>
      <c r="C1" s="39" t="s">
        <v>64</v>
      </c>
      <c r="D1" s="39" t="s">
        <v>64</v>
      </c>
      <c r="E1" s="39" t="s">
        <v>64</v>
      </c>
      <c r="F1" s="39" t="s">
        <v>64</v>
      </c>
      <c r="G1" s="39" t="s">
        <v>64</v>
      </c>
      <c r="H1" s="39" t="s">
        <v>64</v>
      </c>
      <c r="I1" s="39" t="s">
        <v>64</v>
      </c>
      <c r="J1" s="39" t="s">
        <v>64</v>
      </c>
      <c r="K1" s="39" t="s">
        <v>64</v>
      </c>
      <c r="L1" s="39" t="s">
        <v>64</v>
      </c>
      <c r="M1" s="39" t="s">
        <v>64</v>
      </c>
      <c r="N1" s="39" t="s">
        <v>64</v>
      </c>
      <c r="O1" s="39" t="s">
        <v>64</v>
      </c>
      <c r="P1" s="55" t="s">
        <v>101</v>
      </c>
      <c r="Q1" s="4"/>
    </row>
    <row r="2" spans="1:20" ht="30" customHeight="1" x14ac:dyDescent="0.25">
      <c r="A2" s="1" t="s">
        <v>25</v>
      </c>
      <c r="B2" s="39" t="s">
        <v>64</v>
      </c>
      <c r="C2" s="39" t="s">
        <v>64</v>
      </c>
      <c r="D2" s="39" t="s">
        <v>64</v>
      </c>
      <c r="E2" s="39" t="s">
        <v>64</v>
      </c>
      <c r="F2" s="39" t="s">
        <v>64</v>
      </c>
      <c r="G2" s="39" t="s">
        <v>64</v>
      </c>
      <c r="H2" s="39" t="s">
        <v>64</v>
      </c>
      <c r="I2" s="39" t="s">
        <v>64</v>
      </c>
      <c r="J2" s="39" t="s">
        <v>64</v>
      </c>
      <c r="K2" s="39" t="s">
        <v>64</v>
      </c>
      <c r="L2" s="39" t="s">
        <v>64</v>
      </c>
      <c r="M2" s="39" t="s">
        <v>64</v>
      </c>
      <c r="N2" s="39" t="s">
        <v>64</v>
      </c>
      <c r="O2" s="39" t="s">
        <v>64</v>
      </c>
      <c r="P2" s="55" t="s">
        <v>101</v>
      </c>
      <c r="Q2" s="4"/>
      <c r="R2" s="5"/>
      <c r="S2" s="5"/>
      <c r="T2" s="5"/>
    </row>
    <row r="3" spans="1:20" ht="24.95" customHeight="1" x14ac:dyDescent="0.25">
      <c r="A3" s="2" t="s">
        <v>26</v>
      </c>
      <c r="B3" s="39" t="s">
        <v>64</v>
      </c>
      <c r="C3" s="39" t="s">
        <v>64</v>
      </c>
      <c r="D3" s="39" t="s">
        <v>64</v>
      </c>
      <c r="E3" s="39" t="s">
        <v>64</v>
      </c>
      <c r="F3" s="39" t="s">
        <v>64</v>
      </c>
      <c r="G3" s="39" t="s">
        <v>64</v>
      </c>
      <c r="H3" s="39" t="s">
        <v>64</v>
      </c>
      <c r="I3" s="39" t="s">
        <v>64</v>
      </c>
      <c r="J3" s="39" t="s">
        <v>64</v>
      </c>
      <c r="K3" s="39" t="s">
        <v>64</v>
      </c>
      <c r="L3" s="39" t="s">
        <v>64</v>
      </c>
      <c r="M3" s="39" t="s">
        <v>64</v>
      </c>
      <c r="N3" s="39" t="s">
        <v>64</v>
      </c>
      <c r="O3" s="39" t="s">
        <v>64</v>
      </c>
      <c r="P3" s="55" t="s">
        <v>101</v>
      </c>
      <c r="Q3" s="4"/>
      <c r="R3" s="5"/>
      <c r="S3" s="5"/>
      <c r="T3" s="5"/>
    </row>
    <row r="4" spans="1:20" ht="18.75" x14ac:dyDescent="0.25">
      <c r="A4" s="6" t="s">
        <v>222</v>
      </c>
      <c r="B4" s="39" t="s">
        <v>64</v>
      </c>
      <c r="C4" s="39" t="s">
        <v>64</v>
      </c>
      <c r="D4" s="39" t="s">
        <v>64</v>
      </c>
      <c r="E4" s="39" t="s">
        <v>64</v>
      </c>
      <c r="F4" s="39" t="s">
        <v>64</v>
      </c>
      <c r="G4" s="39" t="s">
        <v>64</v>
      </c>
      <c r="H4" s="39" t="s">
        <v>64</v>
      </c>
      <c r="I4" s="39" t="s">
        <v>64</v>
      </c>
      <c r="J4" s="39" t="s">
        <v>64</v>
      </c>
      <c r="K4" s="39" t="s">
        <v>64</v>
      </c>
      <c r="L4" s="39" t="s">
        <v>64</v>
      </c>
      <c r="M4" s="39" t="s">
        <v>64</v>
      </c>
      <c r="N4" s="39" t="s">
        <v>64</v>
      </c>
      <c r="O4" s="39" t="s">
        <v>64</v>
      </c>
      <c r="P4" s="55" t="s">
        <v>101</v>
      </c>
      <c r="Q4" s="4"/>
      <c r="R4" s="5"/>
      <c r="S4" s="5"/>
      <c r="T4" s="5"/>
    </row>
    <row r="5" spans="1:20" ht="30" customHeight="1" x14ac:dyDescent="0.25">
      <c r="A5" s="156">
        <v>25.5</v>
      </c>
      <c r="B5" s="39" t="s">
        <v>64</v>
      </c>
      <c r="C5" s="39" t="s">
        <v>64</v>
      </c>
      <c r="D5" s="39" t="s">
        <v>64</v>
      </c>
      <c r="E5" s="39" t="s">
        <v>64</v>
      </c>
      <c r="F5" s="39" t="s">
        <v>64</v>
      </c>
      <c r="G5" s="39" t="s">
        <v>64</v>
      </c>
      <c r="H5" s="39" t="s">
        <v>64</v>
      </c>
      <c r="I5" s="39" t="s">
        <v>64</v>
      </c>
      <c r="J5" s="39" t="s">
        <v>64</v>
      </c>
      <c r="K5" s="39" t="s">
        <v>64</v>
      </c>
      <c r="L5" s="39" t="s">
        <v>64</v>
      </c>
      <c r="M5" s="39" t="s">
        <v>64</v>
      </c>
      <c r="N5" s="39" t="s">
        <v>64</v>
      </c>
      <c r="O5" s="39" t="s">
        <v>64</v>
      </c>
      <c r="P5" s="55" t="s">
        <v>101</v>
      </c>
      <c r="Q5" s="4"/>
      <c r="R5" s="5"/>
      <c r="S5" s="5"/>
      <c r="T5" s="5"/>
    </row>
    <row r="6" spans="1:20" ht="18.75" x14ac:dyDescent="0.25">
      <c r="A6" s="6" t="s">
        <v>171</v>
      </c>
      <c r="B6" s="39" t="s">
        <v>64</v>
      </c>
      <c r="C6" s="39" t="s">
        <v>64</v>
      </c>
      <c r="D6" s="39" t="s">
        <v>64</v>
      </c>
      <c r="E6" s="39" t="s">
        <v>64</v>
      </c>
      <c r="F6" s="39" t="s">
        <v>64</v>
      </c>
      <c r="G6" s="39" t="s">
        <v>64</v>
      </c>
      <c r="H6" s="39" t="s">
        <v>64</v>
      </c>
      <c r="I6" s="39" t="s">
        <v>64</v>
      </c>
      <c r="J6" s="39" t="s">
        <v>64</v>
      </c>
      <c r="K6" s="39" t="s">
        <v>64</v>
      </c>
      <c r="L6" s="39" t="s">
        <v>64</v>
      </c>
      <c r="M6" s="39" t="s">
        <v>64</v>
      </c>
      <c r="N6" s="39" t="s">
        <v>64</v>
      </c>
      <c r="O6" s="39" t="s">
        <v>64</v>
      </c>
      <c r="P6" s="55" t="s">
        <v>101</v>
      </c>
      <c r="Q6" s="4"/>
      <c r="R6" s="5"/>
      <c r="S6" s="5"/>
      <c r="T6" s="5"/>
    </row>
    <row r="7" spans="1:20" ht="39.950000000000003" customHeight="1" x14ac:dyDescent="0.25">
      <c r="A7" s="208">
        <v>46023</v>
      </c>
      <c r="B7" s="42" t="s">
        <v>34</v>
      </c>
      <c r="C7" s="42" t="str">
        <f>UPPER(TEXT(Tilikauden_alku,"[$-040B]kkk"))</f>
        <v>TAMMI</v>
      </c>
      <c r="D7" s="42" t="str">
        <f>UPPER(TEXT(EOMONTH(Tilikauden_alku,1),"[$-040B]kkk"))</f>
        <v>HELMI</v>
      </c>
      <c r="E7" s="42" t="str">
        <f>UPPER(TEXT(EOMONTH(Tilikauden_alku,2),"[$-040B]kkk"))</f>
        <v>MAALIS</v>
      </c>
      <c r="F7" s="42" t="str">
        <f>UPPER(TEXT(EOMONTH(Tilikauden_alku,3),"[$-040B]kkk"))</f>
        <v>HUHTI</v>
      </c>
      <c r="G7" s="42" t="str">
        <f>UPPER(TEXT(EOMONTH(Tilikauden_alku,4),"[$-040B]kkk"))</f>
        <v>TOUKO</v>
      </c>
      <c r="H7" s="42" t="str">
        <f>UPPER(TEXT(EOMONTH(Tilikauden_alku,5),"[$-040B]kkk"))</f>
        <v>KESÄ</v>
      </c>
      <c r="I7" s="42" t="str">
        <f>UPPER(TEXT(EOMONTH(Tilikauden_alku,6),"[$-040B]kkk"))</f>
        <v>HEINÄ</v>
      </c>
      <c r="J7" s="42" t="str">
        <f>UPPER(TEXT(EOMONTH(Tilikauden_alku,7),"[$-040B]kkk"))</f>
        <v>ELO</v>
      </c>
      <c r="K7" s="42" t="str">
        <f>UPPER(TEXT(EOMONTH(Tilikauden_alku,8),"[$-040B]kkk"))</f>
        <v>SYYS</v>
      </c>
      <c r="L7" s="42" t="str">
        <f>UPPER(TEXT(EOMONTH(Tilikauden_alku,9),"[$-040B]kkk"))</f>
        <v>LOKA</v>
      </c>
      <c r="M7" s="42" t="str">
        <f>UPPER(TEXT(EOMONTH(Tilikauden_alku,10),"[$-040B]kkk"))</f>
        <v>MARRAS</v>
      </c>
      <c r="N7" s="42" t="str">
        <f>UPPER(TEXT(EOMONTH(Tilikauden_alku,11),"[$-040B]kkk"))</f>
        <v>JOULU</v>
      </c>
      <c r="O7" s="42" t="s">
        <v>36</v>
      </c>
      <c r="P7" s="55" t="s">
        <v>101</v>
      </c>
      <c r="Q7" s="4"/>
      <c r="R7" s="5"/>
      <c r="S7" s="5"/>
      <c r="T7" s="5"/>
    </row>
    <row r="8" spans="1:20" ht="30" customHeight="1" x14ac:dyDescent="0.25">
      <c r="A8" s="43" t="s">
        <v>52</v>
      </c>
      <c r="B8" s="26" t="s">
        <v>35</v>
      </c>
      <c r="C8" s="26" t="s">
        <v>38</v>
      </c>
      <c r="D8" s="26" t="s">
        <v>39</v>
      </c>
      <c r="E8" s="26" t="s">
        <v>41</v>
      </c>
      <c r="F8" s="26" t="s">
        <v>40</v>
      </c>
      <c r="G8" s="26" t="s">
        <v>42</v>
      </c>
      <c r="H8" s="26" t="s">
        <v>43</v>
      </c>
      <c r="I8" s="26" t="s">
        <v>44</v>
      </c>
      <c r="J8" s="26" t="s">
        <v>45</v>
      </c>
      <c r="K8" s="26" t="s">
        <v>46</v>
      </c>
      <c r="L8" s="26" t="s">
        <v>47</v>
      </c>
      <c r="M8" s="26" t="s">
        <v>48</v>
      </c>
      <c r="N8" s="26" t="s">
        <v>49</v>
      </c>
      <c r="O8" s="27" t="s">
        <v>23</v>
      </c>
      <c r="P8" s="55" t="s">
        <v>101</v>
      </c>
      <c r="Q8" s="4"/>
      <c r="R8" s="5"/>
      <c r="S8" s="5"/>
      <c r="T8" s="5"/>
    </row>
    <row r="9" spans="1:20" ht="30" customHeight="1" x14ac:dyDescent="0.25">
      <c r="A9" s="44" t="s">
        <v>51</v>
      </c>
      <c r="B9" s="130"/>
      <c r="C9" s="131">
        <f>B42</f>
        <v>0</v>
      </c>
      <c r="D9" s="131">
        <f t="shared" ref="D9:N9" si="0">C42</f>
        <v>0</v>
      </c>
      <c r="E9" s="131">
        <f t="shared" si="0"/>
        <v>0</v>
      </c>
      <c r="F9" s="131">
        <f t="shared" si="0"/>
        <v>0</v>
      </c>
      <c r="G9" s="131">
        <f t="shared" si="0"/>
        <v>0</v>
      </c>
      <c r="H9" s="131">
        <f t="shared" si="0"/>
        <v>0</v>
      </c>
      <c r="I9" s="131">
        <f t="shared" si="0"/>
        <v>0</v>
      </c>
      <c r="J9" s="131">
        <f t="shared" si="0"/>
        <v>0</v>
      </c>
      <c r="K9" s="131">
        <f t="shared" si="0"/>
        <v>0</v>
      </c>
      <c r="L9" s="131">
        <f t="shared" si="0"/>
        <v>0</v>
      </c>
      <c r="M9" s="131">
        <f t="shared" si="0"/>
        <v>0</v>
      </c>
      <c r="N9" s="131">
        <f t="shared" si="0"/>
        <v>0</v>
      </c>
      <c r="O9" s="131"/>
      <c r="P9" s="55" t="s">
        <v>101</v>
      </c>
      <c r="Q9" s="4"/>
      <c r="R9" s="5"/>
      <c r="S9" s="5"/>
      <c r="T9" s="5"/>
    </row>
    <row r="10" spans="1:20" ht="30" customHeight="1" x14ac:dyDescent="0.25">
      <c r="A10" s="17" t="s">
        <v>230</v>
      </c>
      <c r="B10" s="26" t="s">
        <v>35</v>
      </c>
      <c r="C10" s="26" t="s">
        <v>38</v>
      </c>
      <c r="D10" s="26" t="s">
        <v>39</v>
      </c>
      <c r="E10" s="26" t="s">
        <v>41</v>
      </c>
      <c r="F10" s="26" t="s">
        <v>40</v>
      </c>
      <c r="G10" s="26" t="s">
        <v>42</v>
      </c>
      <c r="H10" s="26" t="s">
        <v>43</v>
      </c>
      <c r="I10" s="26" t="s">
        <v>44</v>
      </c>
      <c r="J10" s="26" t="s">
        <v>45</v>
      </c>
      <c r="K10" s="26" t="s">
        <v>46</v>
      </c>
      <c r="L10" s="26" t="s">
        <v>47</v>
      </c>
      <c r="M10" s="26" t="s">
        <v>48</v>
      </c>
      <c r="N10" s="26" t="s">
        <v>49</v>
      </c>
      <c r="O10" s="27" t="s">
        <v>23</v>
      </c>
      <c r="P10" s="55" t="s">
        <v>101</v>
      </c>
      <c r="Q10" s="4"/>
      <c r="R10" s="5"/>
      <c r="S10" s="5"/>
      <c r="T10" s="5"/>
    </row>
    <row r="11" spans="1:20" ht="20.100000000000001" customHeight="1" x14ac:dyDescent="0.25">
      <c r="A11" s="45" t="s">
        <v>27</v>
      </c>
      <c r="B11" s="132"/>
      <c r="C11" s="133"/>
      <c r="D11" s="133"/>
      <c r="E11" s="133"/>
      <c r="F11" s="133"/>
      <c r="G11" s="133"/>
      <c r="H11" s="133"/>
      <c r="I11" s="133"/>
      <c r="J11" s="133"/>
      <c r="K11" s="133"/>
      <c r="L11" s="133"/>
      <c r="M11" s="133"/>
      <c r="N11" s="134"/>
      <c r="O11" s="135">
        <f>SUM(Kassaanmaksu_taulukko_1[[#This Row],[Arvio]:[Jakso 12]])</f>
        <v>0</v>
      </c>
      <c r="P11" s="55" t="s">
        <v>101</v>
      </c>
      <c r="Q11" s="4"/>
      <c r="R11" s="5"/>
      <c r="S11" s="5"/>
      <c r="T11" s="5"/>
    </row>
    <row r="12" spans="1:20" ht="20.100000000000001" customHeight="1" x14ac:dyDescent="0.25">
      <c r="A12" s="46" t="s">
        <v>28</v>
      </c>
      <c r="B12" s="136"/>
      <c r="C12" s="137"/>
      <c r="D12" s="137"/>
      <c r="E12" s="137"/>
      <c r="F12" s="137"/>
      <c r="G12" s="137"/>
      <c r="H12" s="137"/>
      <c r="I12" s="137"/>
      <c r="J12" s="137"/>
      <c r="K12" s="137"/>
      <c r="L12" s="137"/>
      <c r="M12" s="137"/>
      <c r="N12" s="138"/>
      <c r="O12" s="139">
        <f>SUM(Kassaanmaksu_taulukko_1[[#This Row],[Arvio]:[Jakso 12]])</f>
        <v>0</v>
      </c>
      <c r="P12" s="55" t="s">
        <v>101</v>
      </c>
      <c r="Q12" s="4"/>
      <c r="R12" s="5"/>
      <c r="S12" s="5"/>
      <c r="T12" s="5"/>
    </row>
    <row r="13" spans="1:20" ht="20.100000000000001" customHeight="1" thickBot="1" x14ac:dyDescent="0.3">
      <c r="A13" s="47" t="s">
        <v>29</v>
      </c>
      <c r="B13" s="140"/>
      <c r="C13" s="141"/>
      <c r="D13" s="141"/>
      <c r="E13" s="141"/>
      <c r="F13" s="141"/>
      <c r="G13" s="141"/>
      <c r="H13" s="141"/>
      <c r="I13" s="141"/>
      <c r="J13" s="141"/>
      <c r="K13" s="141"/>
      <c r="L13" s="141"/>
      <c r="M13" s="141"/>
      <c r="N13" s="142"/>
      <c r="O13" s="143">
        <f>SUM(Kassaanmaksu_taulukko_1[[#This Row],[Arvio]:[Jakso 12]])</f>
        <v>0</v>
      </c>
      <c r="P13" s="55" t="s">
        <v>101</v>
      </c>
      <c r="Q13" s="4"/>
      <c r="R13" s="5"/>
      <c r="S13" s="5"/>
      <c r="T13" s="5"/>
    </row>
    <row r="14" spans="1:20" ht="30" customHeight="1" x14ac:dyDescent="0.25">
      <c r="A14" s="79" t="s">
        <v>23</v>
      </c>
      <c r="B14" s="144">
        <f t="shared" ref="B14" si="1">SUM(B11:B13)</f>
        <v>0</v>
      </c>
      <c r="C14" s="144">
        <f t="shared" ref="C14" si="2">SUM(C11:C13)</f>
        <v>0</v>
      </c>
      <c r="D14" s="144">
        <f t="shared" ref="D14" si="3">SUM(D11:D13)</f>
        <v>0</v>
      </c>
      <c r="E14" s="144">
        <f t="shared" ref="E14" si="4">SUM(E11:E13)</f>
        <v>0</v>
      </c>
      <c r="F14" s="144">
        <f t="shared" ref="F14" si="5">SUM(F11:F13)</f>
        <v>0</v>
      </c>
      <c r="G14" s="144">
        <f t="shared" ref="G14" si="6">SUM(G11:G13)</f>
        <v>0</v>
      </c>
      <c r="H14" s="144">
        <f t="shared" ref="H14" si="7">SUM(H11:H13)</f>
        <v>0</v>
      </c>
      <c r="I14" s="144">
        <f t="shared" ref="I14" si="8">SUM(I11:I13)</f>
        <v>0</v>
      </c>
      <c r="J14" s="144">
        <f t="shared" ref="J14" si="9">SUM(J11:J13)</f>
        <v>0</v>
      </c>
      <c r="K14" s="144">
        <f t="shared" ref="K14" si="10">SUM(K11:K13)</f>
        <v>0</v>
      </c>
      <c r="L14" s="144">
        <f t="shared" ref="L14" si="11">SUM(L11:L13)</f>
        <v>0</v>
      </c>
      <c r="M14" s="144">
        <f t="shared" ref="M14:N14" si="12">SUM(M11:M13)</f>
        <v>0</v>
      </c>
      <c r="N14" s="144">
        <f t="shared" si="12"/>
        <v>0</v>
      </c>
      <c r="O14" s="145">
        <f>SUM(Kassaanmaksu_taulukko_1[[#This Row],[Arvio]:[Jakso 12]])</f>
        <v>0</v>
      </c>
      <c r="P14" s="55" t="s">
        <v>101</v>
      </c>
      <c r="Q14" s="4"/>
      <c r="R14" s="5"/>
      <c r="S14" s="5"/>
      <c r="T14" s="5"/>
    </row>
    <row r="15" spans="1:20" ht="30" customHeight="1" x14ac:dyDescent="0.25">
      <c r="A15" s="81" t="s">
        <v>224</v>
      </c>
      <c r="B15" s="146">
        <f>B14*(1+(Arvonlisäveroprosentti/100))</f>
        <v>0</v>
      </c>
      <c r="C15" s="146">
        <f t="shared" ref="C15:N15" si="13">C14*(1+(Arvonlisäveroprosentti/100))</f>
        <v>0</v>
      </c>
      <c r="D15" s="146">
        <f t="shared" si="13"/>
        <v>0</v>
      </c>
      <c r="E15" s="146">
        <f t="shared" si="13"/>
        <v>0</v>
      </c>
      <c r="F15" s="146">
        <f t="shared" si="13"/>
        <v>0</v>
      </c>
      <c r="G15" s="146">
        <f t="shared" si="13"/>
        <v>0</v>
      </c>
      <c r="H15" s="146">
        <f t="shared" si="13"/>
        <v>0</v>
      </c>
      <c r="I15" s="146">
        <f t="shared" si="13"/>
        <v>0</v>
      </c>
      <c r="J15" s="146">
        <f t="shared" si="13"/>
        <v>0</v>
      </c>
      <c r="K15" s="146">
        <f t="shared" si="13"/>
        <v>0</v>
      </c>
      <c r="L15" s="146">
        <f t="shared" si="13"/>
        <v>0</v>
      </c>
      <c r="M15" s="146">
        <f t="shared" si="13"/>
        <v>0</v>
      </c>
      <c r="N15" s="146">
        <f t="shared" si="13"/>
        <v>0</v>
      </c>
      <c r="O15" s="146">
        <f>SUM(Kassaanmaksu_taulukko_1[[#This Row],[Arvio]:[Jakso 12]])</f>
        <v>0</v>
      </c>
      <c r="P15" s="55" t="s">
        <v>101</v>
      </c>
      <c r="Q15" s="4"/>
      <c r="R15" s="5"/>
      <c r="S15" s="5"/>
      <c r="T15" s="5"/>
    </row>
    <row r="16" spans="1:20" ht="30" customHeight="1" x14ac:dyDescent="0.25">
      <c r="A16" s="48" t="s">
        <v>53</v>
      </c>
      <c r="B16" s="26" t="s">
        <v>35</v>
      </c>
      <c r="C16" s="26" t="s">
        <v>38</v>
      </c>
      <c r="D16" s="26" t="s">
        <v>39</v>
      </c>
      <c r="E16" s="26" t="s">
        <v>41</v>
      </c>
      <c r="F16" s="26" t="s">
        <v>40</v>
      </c>
      <c r="G16" s="26" t="s">
        <v>42</v>
      </c>
      <c r="H16" s="26" t="s">
        <v>43</v>
      </c>
      <c r="I16" s="26" t="s">
        <v>44</v>
      </c>
      <c r="J16" s="26" t="s">
        <v>45</v>
      </c>
      <c r="K16" s="26" t="s">
        <v>46</v>
      </c>
      <c r="L16" s="26" t="s">
        <v>47</v>
      </c>
      <c r="M16" s="26" t="s">
        <v>48</v>
      </c>
      <c r="N16" s="26" t="s">
        <v>49</v>
      </c>
      <c r="O16" s="27" t="s">
        <v>23</v>
      </c>
      <c r="P16" s="55" t="s">
        <v>101</v>
      </c>
      <c r="Q16" s="4"/>
      <c r="R16" s="5"/>
      <c r="S16" s="5"/>
      <c r="T16" s="5"/>
    </row>
    <row r="17" spans="1:390" ht="30" customHeight="1" x14ac:dyDescent="0.25">
      <c r="A17" s="44" t="s">
        <v>50</v>
      </c>
      <c r="B17" s="131">
        <f>SUM(Alkukassa_taulukko_1[Arvio],B15)</f>
        <v>0</v>
      </c>
      <c r="C17" s="131">
        <f>SUM(Alkukassa_taulukko_1[Jakso 1],C15)</f>
        <v>0</v>
      </c>
      <c r="D17" s="131">
        <f>SUM(Alkukassa_taulukko_1[Jakso 2],D15)</f>
        <v>0</v>
      </c>
      <c r="E17" s="131">
        <f>SUM(Alkukassa_taulukko_1[Jakso 3],E15)</f>
        <v>0</v>
      </c>
      <c r="F17" s="131">
        <f>SUM(Alkukassa_taulukko_1[Jakso 4],F15)</f>
        <v>0</v>
      </c>
      <c r="G17" s="131">
        <f>SUM(Alkukassa_taulukko_1[Jakso 5],G15)</f>
        <v>0</v>
      </c>
      <c r="H17" s="131">
        <f>SUM(Alkukassa_taulukko_1[Jakso 6],H15)</f>
        <v>0</v>
      </c>
      <c r="I17" s="131">
        <f>SUM(Alkukassa_taulukko_1[Jakso 7],I15)</f>
        <v>0</v>
      </c>
      <c r="J17" s="131">
        <f>SUM(Alkukassa_taulukko_1[Jakso 8],J15)</f>
        <v>0</v>
      </c>
      <c r="K17" s="131">
        <f>SUM(Alkukassa_taulukko_1[Jakso 9],K15)</f>
        <v>0</v>
      </c>
      <c r="L17" s="131">
        <f>SUM(Alkukassa_taulukko_1[Jakso 10],L15)</f>
        <v>0</v>
      </c>
      <c r="M17" s="131">
        <f>SUM(Alkukassa_taulukko_1[Jakso 11],M15)</f>
        <v>0</v>
      </c>
      <c r="N17" s="131">
        <f>SUM(Alkukassa_taulukko_1[Jakso 12],N15)</f>
        <v>0</v>
      </c>
      <c r="O17" s="131"/>
      <c r="P17" s="55" t="s">
        <v>101</v>
      </c>
      <c r="Q17" s="4"/>
      <c r="R17" s="5"/>
      <c r="S17" s="5"/>
      <c r="T17" s="5"/>
    </row>
    <row r="18" spans="1:390" ht="30" customHeight="1" x14ac:dyDescent="0.25">
      <c r="A18" s="48" t="s">
        <v>225</v>
      </c>
      <c r="B18" s="26" t="s">
        <v>35</v>
      </c>
      <c r="C18" s="26" t="s">
        <v>38</v>
      </c>
      <c r="D18" s="26" t="s">
        <v>39</v>
      </c>
      <c r="E18" s="26" t="s">
        <v>41</v>
      </c>
      <c r="F18" s="26" t="s">
        <v>40</v>
      </c>
      <c r="G18" s="26" t="s">
        <v>42</v>
      </c>
      <c r="H18" s="26" t="s">
        <v>43</v>
      </c>
      <c r="I18" s="26" t="s">
        <v>44</v>
      </c>
      <c r="J18" s="26" t="s">
        <v>45</v>
      </c>
      <c r="K18" s="26" t="s">
        <v>46</v>
      </c>
      <c r="L18" s="26" t="s">
        <v>47</v>
      </c>
      <c r="M18" s="26" t="s">
        <v>48</v>
      </c>
      <c r="N18" s="26" t="s">
        <v>49</v>
      </c>
      <c r="O18" s="27" t="s">
        <v>23</v>
      </c>
      <c r="P18" s="55" t="s">
        <v>101</v>
      </c>
      <c r="Q18" s="4"/>
      <c r="R18" s="5"/>
      <c r="S18" s="5"/>
      <c r="T18" s="5"/>
    </row>
    <row r="19" spans="1:390" ht="20.100000000000001" customHeight="1" thickBot="1" x14ac:dyDescent="0.3">
      <c r="A19" s="83" t="s">
        <v>229</v>
      </c>
      <c r="B19" s="166"/>
      <c r="C19" s="166"/>
      <c r="D19" s="166"/>
      <c r="E19" s="166"/>
      <c r="F19" s="166"/>
      <c r="G19" s="166"/>
      <c r="H19" s="166"/>
      <c r="I19" s="166"/>
      <c r="J19" s="166"/>
      <c r="K19" s="166"/>
      <c r="L19" s="166"/>
      <c r="M19" s="166"/>
      <c r="N19" s="166"/>
      <c r="O19" s="103">
        <f>SUM(Kassastamaksu_alv_taulukko_1[[#This Row],[Arvio]:[Jakso 12]])</f>
        <v>0</v>
      </c>
      <c r="P19" s="55" t="s">
        <v>101</v>
      </c>
      <c r="Q19" s="4"/>
      <c r="R19" s="5"/>
      <c r="S19" s="5"/>
      <c r="T19" s="5"/>
    </row>
    <row r="20" spans="1:390" ht="30" customHeight="1" x14ac:dyDescent="0.25">
      <c r="A20" s="80" t="s">
        <v>223</v>
      </c>
      <c r="B20" s="147">
        <f>B19*(1+(Arvonlisäveroprosentti/100))</f>
        <v>0</v>
      </c>
      <c r="C20" s="147">
        <f t="shared" ref="C20:N20" si="14">C19*(1+(Arvonlisäveroprosentti/100))</f>
        <v>0</v>
      </c>
      <c r="D20" s="147">
        <f t="shared" si="14"/>
        <v>0</v>
      </c>
      <c r="E20" s="147">
        <f>E19*(1+(Arvonlisäveroprosentti/100))</f>
        <v>0</v>
      </c>
      <c r="F20" s="147">
        <f t="shared" si="14"/>
        <v>0</v>
      </c>
      <c r="G20" s="147">
        <f t="shared" si="14"/>
        <v>0</v>
      </c>
      <c r="H20" s="147">
        <f t="shared" si="14"/>
        <v>0</v>
      </c>
      <c r="I20" s="147">
        <f t="shared" si="14"/>
        <v>0</v>
      </c>
      <c r="J20" s="147">
        <f t="shared" si="14"/>
        <v>0</v>
      </c>
      <c r="K20" s="147">
        <f t="shared" si="14"/>
        <v>0</v>
      </c>
      <c r="L20" s="147">
        <f t="shared" si="14"/>
        <v>0</v>
      </c>
      <c r="M20" s="147">
        <f>M19*(1+(Arvonlisäveroprosentti/100))</f>
        <v>0</v>
      </c>
      <c r="N20" s="147">
        <f t="shared" si="14"/>
        <v>0</v>
      </c>
      <c r="O20" s="147">
        <f>SUM(Kassastamaksu_alv_taulukko_1[[#This Row],[Arvio]:[Jakso 12]])</f>
        <v>0</v>
      </c>
      <c r="P20" s="55" t="s">
        <v>101</v>
      </c>
      <c r="Q20" s="4"/>
      <c r="R20" s="5"/>
      <c r="S20" s="5"/>
      <c r="T20" s="5"/>
    </row>
    <row r="21" spans="1:390" ht="30" customHeight="1" x14ac:dyDescent="0.25">
      <c r="A21" s="81" t="s">
        <v>228</v>
      </c>
      <c r="B21" s="84" t="s">
        <v>226</v>
      </c>
      <c r="C21" s="84" t="s">
        <v>226</v>
      </c>
      <c r="D21" s="148">
        <f>(B15-B14)-(B20-B19)</f>
        <v>0</v>
      </c>
      <c r="E21" s="148">
        <f t="shared" ref="E21:L21" si="15">(C15-C14)-(C20-C19)</f>
        <v>0</v>
      </c>
      <c r="F21" s="148">
        <f t="shared" si="15"/>
        <v>0</v>
      </c>
      <c r="G21" s="148">
        <f t="shared" si="15"/>
        <v>0</v>
      </c>
      <c r="H21" s="148">
        <f t="shared" si="15"/>
        <v>0</v>
      </c>
      <c r="I21" s="148">
        <f t="shared" si="15"/>
        <v>0</v>
      </c>
      <c r="J21" s="148">
        <f t="shared" si="15"/>
        <v>0</v>
      </c>
      <c r="K21" s="148">
        <f t="shared" si="15"/>
        <v>0</v>
      </c>
      <c r="L21" s="148">
        <f t="shared" si="15"/>
        <v>0</v>
      </c>
      <c r="M21" s="148">
        <f>(K15-K14)-(K20-K19)</f>
        <v>0</v>
      </c>
      <c r="N21" s="148">
        <f>(L15-L14)-(L20-L19)</f>
        <v>0</v>
      </c>
      <c r="O21" s="148">
        <f>SUM(Kassastamaksu_alv_taulukko_1[[#This Row],[Arvio]:[Jakso 12]])</f>
        <v>0</v>
      </c>
      <c r="P21" s="180" t="s">
        <v>101</v>
      </c>
      <c r="Q21" s="76"/>
      <c r="R21" s="5"/>
      <c r="S21" s="5"/>
      <c r="T21" s="5"/>
    </row>
    <row r="22" spans="1:390" ht="30" customHeight="1" x14ac:dyDescent="0.25">
      <c r="A22" s="17" t="s">
        <v>30</v>
      </c>
      <c r="B22" s="26" t="s">
        <v>35</v>
      </c>
      <c r="C22" s="26" t="s">
        <v>38</v>
      </c>
      <c r="D22" s="26" t="s">
        <v>39</v>
      </c>
      <c r="E22" s="26" t="s">
        <v>41</v>
      </c>
      <c r="F22" s="26" t="s">
        <v>40</v>
      </c>
      <c r="G22" s="26" t="s">
        <v>42</v>
      </c>
      <c r="H22" s="26" t="s">
        <v>43</v>
      </c>
      <c r="I22" s="26" t="s">
        <v>44</v>
      </c>
      <c r="J22" s="26" t="s">
        <v>45</v>
      </c>
      <c r="K22" s="26" t="s">
        <v>46</v>
      </c>
      <c r="L22" s="26" t="s">
        <v>47</v>
      </c>
      <c r="M22" s="26" t="s">
        <v>48</v>
      </c>
      <c r="N22" s="26" t="s">
        <v>49</v>
      </c>
      <c r="O22" s="27" t="s">
        <v>23</v>
      </c>
      <c r="P22" s="55" t="s">
        <v>101</v>
      </c>
      <c r="Q22" s="4"/>
      <c r="R22" s="5"/>
      <c r="S22" s="5"/>
      <c r="T22" s="5"/>
    </row>
    <row r="23" spans="1:390" ht="20.100000000000001" customHeight="1" x14ac:dyDescent="0.25">
      <c r="A23" s="18" t="s">
        <v>115</v>
      </c>
      <c r="B23" s="94"/>
      <c r="C23" s="94"/>
      <c r="D23" s="94"/>
      <c r="E23" s="94"/>
      <c r="F23" s="94"/>
      <c r="G23" s="94"/>
      <c r="H23" s="94"/>
      <c r="I23" s="94"/>
      <c r="J23" s="94"/>
      <c r="K23" s="94"/>
      <c r="L23" s="94"/>
      <c r="M23" s="94"/>
      <c r="N23" s="94"/>
      <c r="O23" s="149">
        <f>SUM(Kassastamaksu_taulukko_1[[#This Row],[Arvio]:[Jakso 12]])</f>
        <v>0</v>
      </c>
      <c r="P23" s="55" t="s">
        <v>101</v>
      </c>
      <c r="Q23" s="4"/>
      <c r="R23" s="5"/>
      <c r="S23" s="5"/>
      <c r="T23" s="5"/>
    </row>
    <row r="24" spans="1:390" ht="20.100000000000001" customHeight="1" x14ac:dyDescent="0.25">
      <c r="A24" s="18" t="s">
        <v>116</v>
      </c>
      <c r="B24" s="94"/>
      <c r="C24" s="94"/>
      <c r="D24" s="94"/>
      <c r="E24" s="94"/>
      <c r="F24" s="94"/>
      <c r="G24" s="94"/>
      <c r="H24" s="94"/>
      <c r="I24" s="94"/>
      <c r="J24" s="94"/>
      <c r="K24" s="94"/>
      <c r="L24" s="94"/>
      <c r="M24" s="94"/>
      <c r="N24" s="94"/>
      <c r="O24" s="149">
        <f>SUM(Kassastamaksu_taulukko_1[[#This Row],[Arvio]:[Jakso 12]])</f>
        <v>0</v>
      </c>
      <c r="P24" s="180" t="s">
        <v>101</v>
      </c>
      <c r="Q24" s="76"/>
      <c r="R24" s="77"/>
      <c r="S24" s="77"/>
      <c r="T24" s="77"/>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8"/>
      <c r="GF24" s="78"/>
      <c r="GG24" s="78"/>
      <c r="GH24" s="78"/>
      <c r="GI24" s="78"/>
      <c r="GJ24" s="78"/>
      <c r="GK24" s="78"/>
      <c r="GL24" s="78"/>
      <c r="GM24" s="78"/>
      <c r="GN24" s="78"/>
      <c r="GO24" s="78"/>
      <c r="GP24" s="78"/>
      <c r="GQ24" s="78"/>
      <c r="GR24" s="78"/>
      <c r="GS24" s="78"/>
      <c r="GT24" s="78"/>
      <c r="GU24" s="78"/>
      <c r="GV24" s="78"/>
      <c r="GW24" s="78"/>
      <c r="GX24" s="78"/>
      <c r="GY24" s="78"/>
      <c r="GZ24" s="78"/>
      <c r="HA24" s="78"/>
      <c r="HB24" s="78"/>
      <c r="HC24" s="78"/>
      <c r="HD24" s="78"/>
      <c r="HE24" s="78"/>
      <c r="HF24" s="78"/>
      <c r="HG24" s="78"/>
      <c r="HH24" s="78"/>
      <c r="HI24" s="78"/>
      <c r="HJ24" s="78"/>
      <c r="HK24" s="78"/>
      <c r="HL24" s="78"/>
      <c r="HM24" s="78"/>
      <c r="HN24" s="78"/>
      <c r="HO24" s="78"/>
      <c r="HP24" s="78"/>
      <c r="HQ24" s="78"/>
      <c r="HR24" s="78"/>
      <c r="HS24" s="78"/>
      <c r="HT24" s="78"/>
      <c r="HU24" s="78"/>
      <c r="HV24" s="78"/>
      <c r="HW24" s="78"/>
      <c r="HX24" s="78"/>
      <c r="HY24" s="78"/>
      <c r="HZ24" s="78"/>
      <c r="IA24" s="78"/>
      <c r="IB24" s="78"/>
      <c r="IC24" s="78"/>
      <c r="ID24" s="78"/>
      <c r="IE24" s="78"/>
      <c r="IF24" s="78"/>
      <c r="IG24" s="78"/>
      <c r="IH24" s="78"/>
      <c r="II24" s="78"/>
      <c r="IJ24" s="78"/>
      <c r="IK24" s="78"/>
      <c r="IL24" s="78"/>
      <c r="IM24" s="78"/>
      <c r="IN24" s="78"/>
      <c r="IO24" s="78"/>
      <c r="IP24" s="78"/>
      <c r="IQ24" s="78"/>
      <c r="IR24" s="78"/>
      <c r="IS24" s="78"/>
      <c r="IT24" s="78"/>
      <c r="IU24" s="78"/>
      <c r="IV24" s="78"/>
      <c r="IW24" s="78"/>
      <c r="IX24" s="78"/>
      <c r="IY24" s="78"/>
      <c r="IZ24" s="78"/>
      <c r="JA24" s="78"/>
      <c r="JB24" s="78"/>
      <c r="JC24" s="78"/>
      <c r="JD24" s="78"/>
      <c r="JE24" s="78"/>
      <c r="JF24" s="78"/>
      <c r="JG24" s="78"/>
      <c r="JH24" s="78"/>
      <c r="JI24" s="78"/>
      <c r="JJ24" s="78"/>
      <c r="JK24" s="78"/>
      <c r="JL24" s="78"/>
      <c r="JM24" s="78"/>
      <c r="JN24" s="78"/>
      <c r="JO24" s="78"/>
      <c r="JP24" s="78"/>
      <c r="JQ24" s="78"/>
      <c r="JR24" s="78"/>
      <c r="JS24" s="78"/>
      <c r="JT24" s="78"/>
      <c r="JU24" s="78"/>
      <c r="JV24" s="78"/>
      <c r="JW24" s="78"/>
      <c r="JX24" s="78"/>
      <c r="JY24" s="78"/>
      <c r="JZ24" s="78"/>
      <c r="KA24" s="78"/>
      <c r="KB24" s="78"/>
      <c r="KC24" s="78"/>
      <c r="KD24" s="78"/>
      <c r="KE24" s="78"/>
      <c r="KF24" s="78"/>
      <c r="KG24" s="78"/>
      <c r="KH24" s="78"/>
      <c r="KI24" s="78"/>
      <c r="KJ24" s="78"/>
      <c r="KK24" s="78"/>
      <c r="KL24" s="78"/>
      <c r="KM24" s="78"/>
      <c r="KN24" s="78"/>
      <c r="KO24" s="78"/>
      <c r="KP24" s="78"/>
      <c r="KQ24" s="78"/>
      <c r="KR24" s="78"/>
      <c r="KS24" s="78"/>
      <c r="KT24" s="78"/>
      <c r="KU24" s="78"/>
      <c r="KV24" s="78"/>
      <c r="KW24" s="78"/>
      <c r="KX24" s="78"/>
      <c r="KY24" s="78"/>
      <c r="KZ24" s="78"/>
      <c r="LA24" s="78"/>
      <c r="LB24" s="78"/>
      <c r="LC24" s="78"/>
      <c r="LD24" s="78"/>
      <c r="LE24" s="78"/>
      <c r="LF24" s="78"/>
      <c r="LG24" s="78"/>
      <c r="LH24" s="78"/>
      <c r="LI24" s="78"/>
      <c r="LJ24" s="78"/>
      <c r="LK24" s="78"/>
      <c r="LL24" s="78"/>
      <c r="LM24" s="78"/>
      <c r="LN24" s="78"/>
      <c r="LO24" s="78"/>
      <c r="LP24" s="78"/>
      <c r="LQ24" s="78"/>
      <c r="LR24" s="78"/>
      <c r="LS24" s="78"/>
      <c r="LT24" s="78"/>
      <c r="LU24" s="78"/>
      <c r="LV24" s="78"/>
      <c r="LW24" s="78"/>
      <c r="LX24" s="78"/>
      <c r="LY24" s="78"/>
      <c r="LZ24" s="78"/>
      <c r="MA24" s="78"/>
      <c r="MB24" s="78"/>
      <c r="MC24" s="78"/>
      <c r="MD24" s="78"/>
      <c r="ME24" s="78"/>
      <c r="MF24" s="78"/>
      <c r="MG24" s="78"/>
      <c r="MH24" s="78"/>
      <c r="MI24" s="78"/>
      <c r="MJ24" s="78"/>
      <c r="MK24" s="78"/>
      <c r="ML24" s="78"/>
      <c r="MM24" s="78"/>
      <c r="MN24" s="78"/>
      <c r="MO24" s="78"/>
      <c r="MP24" s="78"/>
      <c r="MQ24" s="78"/>
      <c r="MR24" s="78"/>
      <c r="MS24" s="78"/>
      <c r="MT24" s="78"/>
      <c r="MU24" s="78"/>
      <c r="MV24" s="78"/>
      <c r="MW24" s="78"/>
      <c r="MX24" s="78"/>
      <c r="MY24" s="78"/>
      <c r="MZ24" s="78"/>
      <c r="NA24" s="78"/>
      <c r="NB24" s="78"/>
      <c r="NC24" s="78"/>
      <c r="ND24" s="78"/>
      <c r="NE24" s="78"/>
      <c r="NF24" s="78"/>
      <c r="NG24" s="78"/>
      <c r="NH24" s="78"/>
      <c r="NI24" s="78"/>
      <c r="NJ24" s="78"/>
      <c r="NK24" s="78"/>
      <c r="NL24" s="78"/>
      <c r="NM24" s="78"/>
      <c r="NN24" s="78"/>
      <c r="NO24" s="78"/>
      <c r="NP24" s="78"/>
      <c r="NQ24" s="78"/>
      <c r="NR24" s="78"/>
      <c r="NS24" s="78"/>
      <c r="NT24" s="78"/>
      <c r="NU24" s="78"/>
      <c r="NV24" s="78"/>
      <c r="NW24" s="78"/>
      <c r="NX24" s="78"/>
      <c r="NY24" s="78"/>
      <c r="NZ24" s="78"/>
    </row>
    <row r="25" spans="1:390" ht="20.100000000000001" customHeight="1" x14ac:dyDescent="0.25">
      <c r="A25" s="40" t="s">
        <v>188</v>
      </c>
      <c r="B25" s="150"/>
      <c r="C25" s="150"/>
      <c r="D25" s="150"/>
      <c r="E25" s="150"/>
      <c r="F25" s="150"/>
      <c r="G25" s="150"/>
      <c r="H25" s="150"/>
      <c r="I25" s="150"/>
      <c r="J25" s="150"/>
      <c r="K25" s="150"/>
      <c r="L25" s="150"/>
      <c r="M25" s="150"/>
      <c r="N25" s="150"/>
      <c r="O25" s="151">
        <f>SUM(Kassastamaksu_taulukko_1[[#This Row],[Arvio]:[Jakso 12]])</f>
        <v>0</v>
      </c>
      <c r="P25" s="180" t="s">
        <v>101</v>
      </c>
      <c r="Q25" s="76"/>
      <c r="R25" s="77"/>
      <c r="S25" s="77"/>
      <c r="T25" s="77"/>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c r="GV25" s="78"/>
      <c r="GW25" s="78"/>
      <c r="GX25" s="78"/>
      <c r="GY25" s="78"/>
      <c r="GZ25" s="78"/>
      <c r="HA25" s="78"/>
      <c r="HB25" s="78"/>
      <c r="HC25" s="78"/>
      <c r="HD25" s="78"/>
      <c r="HE25" s="78"/>
      <c r="HF25" s="78"/>
      <c r="HG25" s="78"/>
      <c r="HH25" s="78"/>
      <c r="HI25" s="78"/>
      <c r="HJ25" s="78"/>
      <c r="HK25" s="78"/>
      <c r="HL25" s="78"/>
      <c r="HM25" s="78"/>
      <c r="HN25" s="78"/>
      <c r="HO25" s="78"/>
      <c r="HP25" s="78"/>
      <c r="HQ25" s="78"/>
      <c r="HR25" s="78"/>
      <c r="HS25" s="78"/>
      <c r="HT25" s="78"/>
      <c r="HU25" s="78"/>
      <c r="HV25" s="78"/>
      <c r="HW25" s="78"/>
      <c r="HX25" s="78"/>
      <c r="HY25" s="78"/>
      <c r="HZ25" s="78"/>
      <c r="IA25" s="78"/>
      <c r="IB25" s="78"/>
      <c r="IC25" s="78"/>
      <c r="ID25" s="78"/>
      <c r="IE25" s="78"/>
      <c r="IF25" s="78"/>
      <c r="IG25" s="78"/>
      <c r="IH25" s="78"/>
      <c r="II25" s="78"/>
      <c r="IJ25" s="78"/>
      <c r="IK25" s="78"/>
      <c r="IL25" s="78"/>
      <c r="IM25" s="78"/>
      <c r="IN25" s="78"/>
      <c r="IO25" s="78"/>
      <c r="IP25" s="78"/>
      <c r="IQ25" s="78"/>
      <c r="IR25" s="78"/>
      <c r="IS25" s="78"/>
      <c r="IT25" s="78"/>
      <c r="IU25" s="78"/>
      <c r="IV25" s="78"/>
      <c r="IW25" s="78"/>
      <c r="IX25" s="78"/>
      <c r="IY25" s="78"/>
      <c r="IZ25" s="78"/>
      <c r="JA25" s="78"/>
      <c r="JB25" s="78"/>
      <c r="JC25" s="78"/>
      <c r="JD25" s="78"/>
      <c r="JE25" s="78"/>
      <c r="JF25" s="78"/>
      <c r="JG25" s="78"/>
      <c r="JH25" s="78"/>
      <c r="JI25" s="78"/>
      <c r="JJ25" s="78"/>
      <c r="JK25" s="78"/>
      <c r="JL25" s="78"/>
      <c r="JM25" s="78"/>
      <c r="JN25" s="78"/>
      <c r="JO25" s="78"/>
      <c r="JP25" s="78"/>
      <c r="JQ25" s="78"/>
      <c r="JR25" s="78"/>
      <c r="JS25" s="78"/>
      <c r="JT25" s="78"/>
      <c r="JU25" s="78"/>
      <c r="JV25" s="78"/>
      <c r="JW25" s="78"/>
      <c r="JX25" s="78"/>
      <c r="JY25" s="78"/>
      <c r="JZ25" s="78"/>
      <c r="KA25" s="78"/>
      <c r="KB25" s="78"/>
      <c r="KC25" s="78"/>
      <c r="KD25" s="78"/>
      <c r="KE25" s="78"/>
      <c r="KF25" s="78"/>
      <c r="KG25" s="78"/>
      <c r="KH25" s="78"/>
      <c r="KI25" s="78"/>
      <c r="KJ25" s="78"/>
      <c r="KK25" s="78"/>
      <c r="KL25" s="78"/>
      <c r="KM25" s="78"/>
      <c r="KN25" s="78"/>
      <c r="KO25" s="78"/>
      <c r="KP25" s="78"/>
      <c r="KQ25" s="78"/>
      <c r="KR25" s="78"/>
      <c r="KS25" s="78"/>
      <c r="KT25" s="78"/>
      <c r="KU25" s="78"/>
      <c r="KV25" s="78"/>
      <c r="KW25" s="78"/>
      <c r="KX25" s="78"/>
      <c r="KY25" s="78"/>
      <c r="KZ25" s="78"/>
      <c r="LA25" s="78"/>
      <c r="LB25" s="78"/>
      <c r="LC25" s="78"/>
      <c r="LD25" s="78"/>
      <c r="LE25" s="78"/>
      <c r="LF25" s="78"/>
      <c r="LG25" s="78"/>
      <c r="LH25" s="78"/>
      <c r="LI25" s="78"/>
      <c r="LJ25" s="78"/>
      <c r="LK25" s="78"/>
      <c r="LL25" s="78"/>
      <c r="LM25" s="78"/>
      <c r="LN25" s="78"/>
      <c r="LO25" s="78"/>
      <c r="LP25" s="78"/>
      <c r="LQ25" s="78"/>
      <c r="LR25" s="78"/>
      <c r="LS25" s="78"/>
      <c r="LT25" s="78"/>
      <c r="LU25" s="78"/>
      <c r="LV25" s="78"/>
      <c r="LW25" s="78"/>
      <c r="LX25" s="78"/>
      <c r="LY25" s="78"/>
      <c r="LZ25" s="78"/>
      <c r="MA25" s="78"/>
      <c r="MB25" s="78"/>
      <c r="MC25" s="78"/>
      <c r="MD25" s="78"/>
      <c r="ME25" s="78"/>
      <c r="MF25" s="78"/>
      <c r="MG25" s="78"/>
      <c r="MH25" s="78"/>
      <c r="MI25" s="78"/>
      <c r="MJ25" s="78"/>
      <c r="MK25" s="78"/>
      <c r="ML25" s="78"/>
      <c r="MM25" s="78"/>
      <c r="MN25" s="78"/>
      <c r="MO25" s="78"/>
      <c r="MP25" s="78"/>
      <c r="MQ25" s="78"/>
      <c r="MR25" s="78"/>
      <c r="MS25" s="78"/>
      <c r="MT25" s="78"/>
      <c r="MU25" s="78"/>
      <c r="MV25" s="78"/>
      <c r="MW25" s="78"/>
      <c r="MX25" s="78"/>
      <c r="MY25" s="78"/>
      <c r="MZ25" s="78"/>
      <c r="NA25" s="78"/>
      <c r="NB25" s="78"/>
      <c r="NC25" s="78"/>
      <c r="ND25" s="78"/>
      <c r="NE25" s="78"/>
      <c r="NF25" s="78"/>
      <c r="NG25" s="78"/>
      <c r="NH25" s="78"/>
      <c r="NI25" s="78"/>
      <c r="NJ25" s="78"/>
      <c r="NK25" s="78"/>
      <c r="NL25" s="78"/>
      <c r="NM25" s="78"/>
      <c r="NN25" s="78"/>
      <c r="NO25" s="78"/>
      <c r="NP25" s="78"/>
      <c r="NQ25" s="78"/>
      <c r="NR25" s="78"/>
      <c r="NS25" s="78"/>
      <c r="NT25" s="78"/>
      <c r="NU25" s="78"/>
      <c r="NV25" s="78"/>
      <c r="NW25" s="78"/>
      <c r="NX25" s="78"/>
      <c r="NY25" s="78"/>
      <c r="NZ25" s="78"/>
    </row>
    <row r="26" spans="1:390" ht="20.100000000000001" customHeight="1" x14ac:dyDescent="0.25">
      <c r="A26" s="41" t="s">
        <v>187</v>
      </c>
      <c r="B26" s="152"/>
      <c r="C26" s="152"/>
      <c r="D26" s="152"/>
      <c r="E26" s="152"/>
      <c r="F26" s="152"/>
      <c r="G26" s="152"/>
      <c r="H26" s="152"/>
      <c r="I26" s="152"/>
      <c r="J26" s="152"/>
      <c r="K26" s="152"/>
      <c r="L26" s="152"/>
      <c r="M26" s="152"/>
      <c r="N26" s="152"/>
      <c r="O26" s="153">
        <f>SUM(Kassastamaksu_taulukko_1[[#This Row],[Arvio]:[Jakso 12]])</f>
        <v>0</v>
      </c>
      <c r="P26" s="55" t="s">
        <v>101</v>
      </c>
      <c r="Q26" s="4"/>
      <c r="R26" s="5"/>
      <c r="S26" s="5"/>
      <c r="T26" s="5"/>
    </row>
    <row r="27" spans="1:390" ht="20.100000000000001" customHeight="1" x14ac:dyDescent="0.25">
      <c r="A27" s="18" t="s">
        <v>11</v>
      </c>
      <c r="B27" s="94"/>
      <c r="C27" s="94"/>
      <c r="D27" s="94"/>
      <c r="E27" s="94"/>
      <c r="F27" s="94"/>
      <c r="G27" s="94"/>
      <c r="H27" s="94"/>
      <c r="I27" s="94"/>
      <c r="J27" s="94"/>
      <c r="K27" s="94"/>
      <c r="L27" s="94"/>
      <c r="M27" s="94"/>
      <c r="N27" s="94"/>
      <c r="O27" s="149">
        <f>SUM(Kassastamaksu_taulukko_1[[#This Row],[Arvio]:[Jakso 12]])</f>
        <v>0</v>
      </c>
      <c r="P27" s="55" t="s">
        <v>101</v>
      </c>
      <c r="Q27" s="4"/>
      <c r="R27" s="5"/>
      <c r="S27" s="5"/>
      <c r="T27" s="5"/>
    </row>
    <row r="28" spans="1:390" ht="20.100000000000001" customHeight="1" x14ac:dyDescent="0.25">
      <c r="A28" s="40" t="s">
        <v>117</v>
      </c>
      <c r="B28" s="150"/>
      <c r="C28" s="150"/>
      <c r="D28" s="150"/>
      <c r="E28" s="150"/>
      <c r="F28" s="150"/>
      <c r="G28" s="150"/>
      <c r="H28" s="150"/>
      <c r="I28" s="150"/>
      <c r="J28" s="150"/>
      <c r="K28" s="150"/>
      <c r="L28" s="150"/>
      <c r="M28" s="150"/>
      <c r="N28" s="150"/>
      <c r="O28" s="151">
        <f>SUM(Kassastamaksu_taulukko_1[[#This Row],[Arvio]:[Jakso 12]])</f>
        <v>0</v>
      </c>
      <c r="P28" s="55" t="s">
        <v>101</v>
      </c>
      <c r="Q28" s="4"/>
      <c r="R28" s="5"/>
      <c r="S28" s="5"/>
      <c r="T28" s="5"/>
    </row>
    <row r="29" spans="1:390" ht="20.100000000000001" customHeight="1" x14ac:dyDescent="0.25">
      <c r="A29" s="41" t="s">
        <v>15</v>
      </c>
      <c r="B29" s="152"/>
      <c r="C29" s="152"/>
      <c r="D29" s="152"/>
      <c r="E29" s="152"/>
      <c r="F29" s="152"/>
      <c r="G29" s="152"/>
      <c r="H29" s="152"/>
      <c r="I29" s="152"/>
      <c r="J29" s="152"/>
      <c r="K29" s="152"/>
      <c r="L29" s="152"/>
      <c r="M29" s="152"/>
      <c r="N29" s="152"/>
      <c r="O29" s="153">
        <f>SUM(Kassastamaksu_taulukko_1[[#This Row],[Arvio]:[Jakso 12]])</f>
        <v>0</v>
      </c>
      <c r="P29" s="55" t="s">
        <v>101</v>
      </c>
      <c r="Q29" s="4"/>
      <c r="R29" s="5"/>
      <c r="S29" s="5"/>
      <c r="T29" s="5"/>
    </row>
    <row r="30" spans="1:390" ht="20.100000000000001" customHeight="1" x14ac:dyDescent="0.25">
      <c r="A30" s="18" t="s">
        <v>118</v>
      </c>
      <c r="B30" s="94"/>
      <c r="C30" s="94"/>
      <c r="D30" s="94"/>
      <c r="E30" s="94"/>
      <c r="F30" s="94"/>
      <c r="G30" s="94"/>
      <c r="H30" s="94"/>
      <c r="I30" s="94"/>
      <c r="J30" s="94"/>
      <c r="K30" s="94"/>
      <c r="L30" s="94"/>
      <c r="M30" s="94"/>
      <c r="N30" s="94"/>
      <c r="O30" s="149">
        <f>SUM(Kassastamaksu_taulukko_1[[#This Row],[Arvio]:[Jakso 12]])</f>
        <v>0</v>
      </c>
      <c r="P30" s="55" t="s">
        <v>101</v>
      </c>
      <c r="Q30" s="4"/>
      <c r="R30" s="5"/>
      <c r="S30" s="5"/>
      <c r="T30" s="5"/>
    </row>
    <row r="31" spans="1:390" ht="20.100000000000001" customHeight="1" thickBot="1" x14ac:dyDescent="0.3">
      <c r="A31" s="18" t="s">
        <v>119</v>
      </c>
      <c r="B31" s="94"/>
      <c r="C31" s="94"/>
      <c r="D31" s="94"/>
      <c r="E31" s="94"/>
      <c r="F31" s="94"/>
      <c r="G31" s="94"/>
      <c r="H31" s="94"/>
      <c r="I31" s="94"/>
      <c r="J31" s="94"/>
      <c r="K31" s="94"/>
      <c r="L31" s="94"/>
      <c r="M31" s="94"/>
      <c r="N31" s="94"/>
      <c r="O31" s="149">
        <f>SUM(Kassastamaksu_taulukko_1[[#This Row],[Arvio]:[Jakso 12]])</f>
        <v>0</v>
      </c>
      <c r="P31" s="55" t="s">
        <v>101</v>
      </c>
      <c r="Q31" s="4"/>
      <c r="R31" s="5"/>
      <c r="S31" s="5"/>
      <c r="T31" s="5"/>
    </row>
    <row r="32" spans="1:390" ht="30" customHeight="1" x14ac:dyDescent="0.25">
      <c r="A32" s="82" t="s">
        <v>32</v>
      </c>
      <c r="B32" s="154">
        <f>SUM(Kassastamaksu_taulukko_1[Arvio],B19)</f>
        <v>0</v>
      </c>
      <c r="C32" s="154">
        <f>SUM(Kassastamaksu_taulukko_1[Jakso 1],C19)</f>
        <v>0</v>
      </c>
      <c r="D32" s="154">
        <f>SUM(Kassastamaksu_taulukko_1[Jakso 2],D19,D21)</f>
        <v>0</v>
      </c>
      <c r="E32" s="154">
        <f>SUM(Kassastamaksu_taulukko_1[Jakso 3],E19,E21)</f>
        <v>0</v>
      </c>
      <c r="F32" s="154">
        <f>SUM(Kassastamaksu_taulukko_1[Jakso 4],F19,F21)</f>
        <v>0</v>
      </c>
      <c r="G32" s="154">
        <f>SUM(Kassastamaksu_taulukko_1[Jakso 5],G19,G21)</f>
        <v>0</v>
      </c>
      <c r="H32" s="154">
        <f>SUM(Kassastamaksu_taulukko_1[Jakso 6],H19,H21)</f>
        <v>0</v>
      </c>
      <c r="I32" s="154">
        <f>SUM(Kassastamaksu_taulukko_1[Jakso 7],I19,I21)</f>
        <v>0</v>
      </c>
      <c r="J32" s="154">
        <f>SUM(Kassastamaksu_taulukko_1[Jakso 8],J19,J21)</f>
        <v>0</v>
      </c>
      <c r="K32" s="154">
        <f>SUM(Kassastamaksu_taulukko_1[Jakso 9],K19,K21)</f>
        <v>0</v>
      </c>
      <c r="L32" s="154">
        <f>SUM(Kassastamaksu_taulukko_1[Jakso 10],L19,L21)</f>
        <v>0</v>
      </c>
      <c r="M32" s="154">
        <f>SUM(Kassastamaksu_taulukko_1[Jakso 11],M19,M21)</f>
        <v>0</v>
      </c>
      <c r="N32" s="154">
        <f>SUM(Kassastamaksu_taulukko_1[Jakso 12],N19,N21)</f>
        <v>0</v>
      </c>
      <c r="O32" s="154">
        <f>SUM(Kassastamaksu_taulukko_1[[#Totals],[Arvio]:[Jakso 12]])</f>
        <v>0</v>
      </c>
      <c r="P32" s="55" t="s">
        <v>101</v>
      </c>
      <c r="Q32" s="4"/>
      <c r="R32" s="5"/>
      <c r="S32" s="5"/>
      <c r="T32" s="5"/>
    </row>
    <row r="33" spans="1:20" ht="30" customHeight="1" x14ac:dyDescent="0.25">
      <c r="A33" s="17" t="s">
        <v>120</v>
      </c>
      <c r="B33" s="26" t="s">
        <v>35</v>
      </c>
      <c r="C33" s="26" t="s">
        <v>38</v>
      </c>
      <c r="D33" s="26" t="s">
        <v>39</v>
      </c>
      <c r="E33" s="26" t="s">
        <v>41</v>
      </c>
      <c r="F33" s="26" t="s">
        <v>40</v>
      </c>
      <c r="G33" s="26" t="s">
        <v>42</v>
      </c>
      <c r="H33" s="26" t="s">
        <v>43</v>
      </c>
      <c r="I33" s="26" t="s">
        <v>44</v>
      </c>
      <c r="J33" s="26" t="s">
        <v>45</v>
      </c>
      <c r="K33" s="26" t="s">
        <v>46</v>
      </c>
      <c r="L33" s="26" t="s">
        <v>47</v>
      </c>
      <c r="M33" s="26" t="s">
        <v>48</v>
      </c>
      <c r="N33" s="26" t="s">
        <v>49</v>
      </c>
      <c r="O33" s="27" t="s">
        <v>23</v>
      </c>
      <c r="P33" s="55" t="s">
        <v>101</v>
      </c>
      <c r="Q33" s="4"/>
      <c r="R33" s="5"/>
      <c r="S33" s="5"/>
      <c r="T33" s="5"/>
    </row>
    <row r="34" spans="1:20" ht="20.100000000000001" customHeight="1" x14ac:dyDescent="0.25">
      <c r="A34" s="18" t="s">
        <v>126</v>
      </c>
      <c r="B34" s="94"/>
      <c r="C34" s="94"/>
      <c r="D34" s="94"/>
      <c r="E34" s="94"/>
      <c r="F34" s="94"/>
      <c r="G34" s="94"/>
      <c r="H34" s="94"/>
      <c r="I34" s="94"/>
      <c r="J34" s="94"/>
      <c r="K34" s="94"/>
      <c r="L34" s="94"/>
      <c r="M34" s="94"/>
      <c r="N34" s="155"/>
      <c r="O34" s="149">
        <f>SUM(Rahoitus_taulukko_1[[#This Row],[Arvio]:[Jakso 12]])</f>
        <v>0</v>
      </c>
      <c r="P34" s="55" t="s">
        <v>101</v>
      </c>
      <c r="Q34" s="4"/>
      <c r="R34" s="5"/>
      <c r="S34" s="5"/>
      <c r="T34" s="5"/>
    </row>
    <row r="35" spans="1:20" ht="20.100000000000001" customHeight="1" x14ac:dyDescent="0.25">
      <c r="A35" s="18" t="s">
        <v>121</v>
      </c>
      <c r="B35" s="94"/>
      <c r="C35" s="94"/>
      <c r="D35" s="94"/>
      <c r="E35" s="94"/>
      <c r="F35" s="94"/>
      <c r="G35" s="94"/>
      <c r="H35" s="94"/>
      <c r="I35" s="94"/>
      <c r="J35" s="94"/>
      <c r="K35" s="94"/>
      <c r="L35" s="94"/>
      <c r="M35" s="94"/>
      <c r="N35" s="94"/>
      <c r="O35" s="149">
        <f>SUM(Rahoitus_taulukko_1[[#This Row],[Arvio]:[Jakso 12]])</f>
        <v>0</v>
      </c>
      <c r="P35" s="55" t="s">
        <v>101</v>
      </c>
      <c r="Q35" s="4"/>
      <c r="R35" s="5"/>
      <c r="S35" s="5"/>
      <c r="T35" s="5"/>
    </row>
    <row r="36" spans="1:20" ht="20.100000000000001" customHeight="1" x14ac:dyDescent="0.25">
      <c r="A36" s="40" t="s">
        <v>122</v>
      </c>
      <c r="B36" s="150"/>
      <c r="C36" s="150"/>
      <c r="D36" s="150"/>
      <c r="E36" s="150"/>
      <c r="F36" s="150"/>
      <c r="G36" s="150"/>
      <c r="H36" s="150"/>
      <c r="I36" s="150"/>
      <c r="J36" s="150"/>
      <c r="K36" s="150"/>
      <c r="L36" s="150"/>
      <c r="M36" s="150"/>
      <c r="N36" s="150"/>
      <c r="O36" s="151">
        <f>SUM(Rahoitus_taulukko_1[[#This Row],[Arvio]:[Jakso 12]])</f>
        <v>0</v>
      </c>
      <c r="P36" s="55" t="s">
        <v>101</v>
      </c>
      <c r="Q36" s="4"/>
      <c r="R36" s="5"/>
      <c r="S36" s="5"/>
      <c r="T36" s="5"/>
    </row>
    <row r="37" spans="1:20" ht="20.100000000000001" customHeight="1" x14ac:dyDescent="0.25">
      <c r="A37" s="41" t="s">
        <v>127</v>
      </c>
      <c r="B37" s="152"/>
      <c r="C37" s="152"/>
      <c r="D37" s="152"/>
      <c r="E37" s="152"/>
      <c r="F37" s="152"/>
      <c r="G37" s="152"/>
      <c r="H37" s="152"/>
      <c r="I37" s="152"/>
      <c r="J37" s="152"/>
      <c r="K37" s="152"/>
      <c r="L37" s="152"/>
      <c r="M37" s="152"/>
      <c r="N37" s="152"/>
      <c r="O37" s="153">
        <f>SUM(Rahoitus_taulukko_1[[#This Row],[Arvio]:[Jakso 12]])</f>
        <v>0</v>
      </c>
      <c r="P37" s="55" t="s">
        <v>101</v>
      </c>
      <c r="Q37" s="4"/>
      <c r="R37" s="5"/>
      <c r="S37" s="5"/>
      <c r="T37" s="5"/>
    </row>
    <row r="38" spans="1:20" ht="20.100000000000001" customHeight="1" x14ac:dyDescent="0.25">
      <c r="A38" s="18" t="s">
        <v>123</v>
      </c>
      <c r="B38" s="94"/>
      <c r="C38" s="94"/>
      <c r="D38" s="94"/>
      <c r="E38" s="94"/>
      <c r="F38" s="94"/>
      <c r="G38" s="94"/>
      <c r="H38" s="94"/>
      <c r="I38" s="94"/>
      <c r="J38" s="94"/>
      <c r="K38" s="94"/>
      <c r="L38" s="94"/>
      <c r="M38" s="94"/>
      <c r="N38" s="94"/>
      <c r="O38" s="149">
        <f>SUM(Rahoitus_taulukko_1[[#This Row],[Arvio]:[Jakso 12]])</f>
        <v>0</v>
      </c>
      <c r="P38" s="55" t="s">
        <v>101</v>
      </c>
      <c r="Q38" s="4"/>
      <c r="R38" s="5"/>
      <c r="S38" s="5"/>
      <c r="T38" s="5"/>
    </row>
    <row r="39" spans="1:20" ht="20.100000000000001" customHeight="1" thickBot="1" x14ac:dyDescent="0.3">
      <c r="A39" s="40" t="s">
        <v>124</v>
      </c>
      <c r="B39" s="150"/>
      <c r="C39" s="150"/>
      <c r="D39" s="150"/>
      <c r="E39" s="150"/>
      <c r="F39" s="150"/>
      <c r="G39" s="150"/>
      <c r="H39" s="150"/>
      <c r="I39" s="150"/>
      <c r="J39" s="150"/>
      <c r="K39" s="150"/>
      <c r="L39" s="150"/>
      <c r="M39" s="150"/>
      <c r="N39" s="150"/>
      <c r="O39" s="151">
        <f>SUM(Rahoitus_taulukko_1[[#This Row],[Arvio]:[Jakso 12]])</f>
        <v>0</v>
      </c>
      <c r="P39" s="55" t="s">
        <v>101</v>
      </c>
      <c r="Q39" s="4"/>
      <c r="R39" s="5"/>
      <c r="S39" s="5"/>
      <c r="T39" s="5"/>
    </row>
    <row r="40" spans="1:20" ht="30" customHeight="1" x14ac:dyDescent="0.25">
      <c r="A40" s="169" t="s">
        <v>125</v>
      </c>
      <c r="B40" s="170">
        <f t="shared" ref="B40:N40" si="16">SUM(-B34,B35:B36,-B37,B38:B39)</f>
        <v>0</v>
      </c>
      <c r="C40" s="170">
        <f t="shared" si="16"/>
        <v>0</v>
      </c>
      <c r="D40" s="170">
        <f t="shared" si="16"/>
        <v>0</v>
      </c>
      <c r="E40" s="170">
        <f>SUM(-E34,E35:E36,-E37,E38:E39)</f>
        <v>0</v>
      </c>
      <c r="F40" s="170">
        <f t="shared" si="16"/>
        <v>0</v>
      </c>
      <c r="G40" s="170">
        <f t="shared" si="16"/>
        <v>0</v>
      </c>
      <c r="H40" s="170">
        <f t="shared" si="16"/>
        <v>0</v>
      </c>
      <c r="I40" s="170">
        <f t="shared" si="16"/>
        <v>0</v>
      </c>
      <c r="J40" s="170">
        <f t="shared" si="16"/>
        <v>0</v>
      </c>
      <c r="K40" s="170">
        <f t="shared" si="16"/>
        <v>0</v>
      </c>
      <c r="L40" s="170">
        <f t="shared" si="16"/>
        <v>0</v>
      </c>
      <c r="M40" s="170">
        <f t="shared" si="16"/>
        <v>0</v>
      </c>
      <c r="N40" s="170">
        <f t="shared" si="16"/>
        <v>0</v>
      </c>
      <c r="O40" s="170">
        <f>SUM(Rahoitus_taulukko_1[[#Totals],[Arvio]:[Jakso 12]])</f>
        <v>0</v>
      </c>
      <c r="P40" s="55" t="s">
        <v>101</v>
      </c>
      <c r="Q40" s="4"/>
      <c r="R40" s="5"/>
      <c r="S40" s="5"/>
      <c r="T40" s="5"/>
    </row>
    <row r="41" spans="1:20" ht="30" customHeight="1" x14ac:dyDescent="0.25">
      <c r="A41" s="171" t="s">
        <v>33</v>
      </c>
      <c r="B41" s="172" t="s">
        <v>35</v>
      </c>
      <c r="C41" s="172" t="s">
        <v>38</v>
      </c>
      <c r="D41" s="172" t="s">
        <v>39</v>
      </c>
      <c r="E41" s="172" t="s">
        <v>41</v>
      </c>
      <c r="F41" s="172" t="s">
        <v>40</v>
      </c>
      <c r="G41" s="172" t="s">
        <v>42</v>
      </c>
      <c r="H41" s="172" t="s">
        <v>43</v>
      </c>
      <c r="I41" s="172" t="s">
        <v>44</v>
      </c>
      <c r="J41" s="172" t="s">
        <v>45</v>
      </c>
      <c r="K41" s="172" t="s">
        <v>46</v>
      </c>
      <c r="L41" s="172" t="s">
        <v>47</v>
      </c>
      <c r="M41" s="172" t="s">
        <v>48</v>
      </c>
      <c r="N41" s="172" t="s">
        <v>49</v>
      </c>
      <c r="O41" s="172" t="s">
        <v>23</v>
      </c>
      <c r="P41" s="55" t="s">
        <v>101</v>
      </c>
      <c r="Q41" s="4"/>
      <c r="R41" s="5"/>
      <c r="S41" s="5"/>
      <c r="T41" s="5"/>
    </row>
    <row r="42" spans="1:20" ht="30" customHeight="1" x14ac:dyDescent="0.25">
      <c r="A42" s="204" t="s">
        <v>254</v>
      </c>
      <c r="B42" s="131">
        <f>SUM(Alkukassa_ja_tulot_taulukko_1[Arvio],-Kassastamaksu_taulukko_1[[#Totals],[Arvio]],Rahoitus_taulukko_1[[#Totals],[Arvio]])</f>
        <v>0</v>
      </c>
      <c r="C42" s="131">
        <f>SUM(Alkukassa_ja_tulot_taulukko_1[Jakso 1],-Kassastamaksu_taulukko_1[[#Totals],[Jakso 1]],Rahoitus_taulukko_1[[#Totals],[Jakso 1]])</f>
        <v>0</v>
      </c>
      <c r="D42" s="131">
        <f>SUM(Alkukassa_ja_tulot_taulukko_1[Jakso 2],-Kassastamaksu_taulukko_1[[#Totals],[Jakso 2]],Rahoitus_taulukko_1[[#Totals],[Jakso 2]])</f>
        <v>0</v>
      </c>
      <c r="E42" s="131">
        <f>SUM(Alkukassa_ja_tulot_taulukko_1[Jakso 3],-Kassastamaksu_taulukko_1[[#Totals],[Jakso 3]],Rahoitus_taulukko_1[[#Totals],[Jakso 3]])</f>
        <v>0</v>
      </c>
      <c r="F42" s="131">
        <f>SUM(Alkukassa_ja_tulot_taulukko_1[Jakso 4],-Kassastamaksu_taulukko_1[[#Totals],[Jakso 4]],Rahoitus_taulukko_1[[#Totals],[Jakso 4]])</f>
        <v>0</v>
      </c>
      <c r="G42" s="131">
        <f>SUM(Alkukassa_ja_tulot_taulukko_1[Jakso 5],-Kassastamaksu_taulukko_1[[#Totals],[Jakso 5]],Rahoitus_taulukko_1[[#Totals],[Jakso 5]])</f>
        <v>0</v>
      </c>
      <c r="H42" s="131">
        <f>SUM(Alkukassa_ja_tulot_taulukko_1[Jakso 6],-Kassastamaksu_taulukko_1[[#Totals],[Jakso 6]],Rahoitus_taulukko_1[[#Totals],[Jakso 6]])</f>
        <v>0</v>
      </c>
      <c r="I42" s="131">
        <f>SUM(Alkukassa_ja_tulot_taulukko_1[Jakso 7],-Kassastamaksu_taulukko_1[[#Totals],[Jakso 7]],Rahoitus_taulukko_1[[#Totals],[Jakso 7]])</f>
        <v>0</v>
      </c>
      <c r="J42" s="131">
        <f>SUM(Alkukassa_ja_tulot_taulukko_1[Jakso 8],-Kassastamaksu_taulukko_1[[#Totals],[Jakso 8]],Rahoitus_taulukko_1[[#Totals],[Jakso 8]])</f>
        <v>0</v>
      </c>
      <c r="K42" s="131">
        <f>SUM(Alkukassa_ja_tulot_taulukko_1[Jakso 9],-Kassastamaksu_taulukko_1[[#Totals],[Jakso 9]],Rahoitus_taulukko_1[[#Totals],[Jakso 9]])</f>
        <v>0</v>
      </c>
      <c r="L42" s="131">
        <f>SUM(Alkukassa_ja_tulot_taulukko_1[Jakso 10],-Kassastamaksu_taulukko_1[[#Totals],[Jakso 10]],Rahoitus_taulukko_1[[#Totals],[Jakso 10]])</f>
        <v>0</v>
      </c>
      <c r="M42" s="131">
        <f>SUM(Alkukassa_ja_tulot_taulukko_1[Jakso 11],-Kassastamaksu_taulukko_1[[#Totals],[Jakso 11]],Rahoitus_taulukko_1[[#Totals],[Jakso 11]])</f>
        <v>0</v>
      </c>
      <c r="N42" s="131">
        <f>SUM(Alkukassa_ja_tulot_taulukko_1[Jakso 12],-Kassastamaksu_taulukko_1[[#Totals],[Jakso 12]],Rahoitus_taulukko_1[[#Totals],[Jakso 12]])</f>
        <v>0</v>
      </c>
      <c r="O42" s="131"/>
      <c r="P42" s="55" t="s">
        <v>101</v>
      </c>
      <c r="Q42" s="4"/>
      <c r="R42" s="4"/>
      <c r="S42" s="4"/>
      <c r="T42" s="4"/>
    </row>
    <row r="43" spans="1:20" ht="30" hidden="1" customHeight="1" x14ac:dyDescent="0.25">
      <c r="A43" s="203" t="s">
        <v>251</v>
      </c>
      <c r="B43" s="201">
        <f>B42</f>
        <v>0</v>
      </c>
      <c r="C43" s="202">
        <f>SUM(C42,-B42)</f>
        <v>0</v>
      </c>
      <c r="D43" s="202">
        <f t="shared" ref="D43:N43" si="17">SUM(D42,-C42)</f>
        <v>0</v>
      </c>
      <c r="E43" s="202">
        <f>SUM(E42,-D42)</f>
        <v>0</v>
      </c>
      <c r="F43" s="202">
        <f t="shared" si="17"/>
        <v>0</v>
      </c>
      <c r="G43" s="202">
        <f t="shared" si="17"/>
        <v>0</v>
      </c>
      <c r="H43" s="202">
        <f t="shared" si="17"/>
        <v>0</v>
      </c>
      <c r="I43" s="202">
        <f t="shared" si="17"/>
        <v>0</v>
      </c>
      <c r="J43" s="202">
        <f t="shared" si="17"/>
        <v>0</v>
      </c>
      <c r="K43" s="202">
        <f t="shared" si="17"/>
        <v>0</v>
      </c>
      <c r="L43" s="202">
        <f t="shared" si="17"/>
        <v>0</v>
      </c>
      <c r="M43" s="202">
        <f t="shared" si="17"/>
        <v>0</v>
      </c>
      <c r="N43" s="202">
        <f t="shared" si="17"/>
        <v>0</v>
      </c>
      <c r="O43" s="168">
        <f>SUM(Maksuvalmius_taulukko_1[[#This Row],[Arvio]:[Jakso 12]])</f>
        <v>0</v>
      </c>
      <c r="P43" s="175" t="s">
        <v>101</v>
      </c>
      <c r="Q43" s="5"/>
      <c r="R43" s="5"/>
      <c r="S43" s="5"/>
      <c r="T43" s="5"/>
    </row>
    <row r="44" spans="1:20" ht="30" customHeight="1" x14ac:dyDescent="0.25">
      <c r="A44" s="176" t="s">
        <v>186</v>
      </c>
      <c r="B44" s="39" t="s">
        <v>64</v>
      </c>
      <c r="C44" s="39" t="s">
        <v>64</v>
      </c>
      <c r="D44" s="39" t="s">
        <v>64</v>
      </c>
      <c r="E44" s="39" t="s">
        <v>64</v>
      </c>
      <c r="F44" s="39" t="s">
        <v>64</v>
      </c>
      <c r="G44" s="39" t="s">
        <v>64</v>
      </c>
      <c r="H44" s="39" t="s">
        <v>64</v>
      </c>
      <c r="I44" s="39" t="s">
        <v>64</v>
      </c>
      <c r="J44" s="39" t="s">
        <v>64</v>
      </c>
      <c r="K44" s="39" t="s">
        <v>64</v>
      </c>
      <c r="L44" s="39" t="s">
        <v>64</v>
      </c>
      <c r="M44" s="39" t="s">
        <v>64</v>
      </c>
      <c r="N44" s="39" t="s">
        <v>64</v>
      </c>
      <c r="O44" s="39" t="s">
        <v>64</v>
      </c>
      <c r="P44" s="55" t="s">
        <v>101</v>
      </c>
      <c r="Q44" s="5"/>
      <c r="R44" s="5"/>
      <c r="S44" s="5"/>
      <c r="T44" s="5"/>
    </row>
    <row r="45" spans="1:20" ht="180" customHeight="1" x14ac:dyDescent="0.25">
      <c r="A45" s="178" t="s">
        <v>255</v>
      </c>
      <c r="B45" s="39" t="s">
        <v>64</v>
      </c>
      <c r="C45" s="39" t="s">
        <v>64</v>
      </c>
      <c r="D45" s="39" t="s">
        <v>64</v>
      </c>
      <c r="E45" s="39" t="s">
        <v>64</v>
      </c>
      <c r="F45" s="39" t="s">
        <v>64</v>
      </c>
      <c r="G45" s="39" t="s">
        <v>64</v>
      </c>
      <c r="H45" s="39" t="s">
        <v>64</v>
      </c>
      <c r="I45" s="39" t="s">
        <v>64</v>
      </c>
      <c r="J45" s="39" t="s">
        <v>64</v>
      </c>
      <c r="K45" s="39" t="s">
        <v>64</v>
      </c>
      <c r="L45" s="39" t="s">
        <v>64</v>
      </c>
      <c r="M45" s="39" t="s">
        <v>64</v>
      </c>
      <c r="N45" s="39" t="s">
        <v>64</v>
      </c>
      <c r="O45" s="39" t="s">
        <v>64</v>
      </c>
      <c r="P45" s="55" t="s">
        <v>101</v>
      </c>
      <c r="Q45" s="4" t="s">
        <v>100</v>
      </c>
    </row>
    <row r="46" spans="1:20" ht="18" customHeight="1" x14ac:dyDescent="0.25">
      <c r="A46" s="179" t="s">
        <v>245</v>
      </c>
      <c r="B46" s="39" t="s">
        <v>64</v>
      </c>
      <c r="C46" s="39" t="s">
        <v>64</v>
      </c>
      <c r="D46" s="39" t="s">
        <v>64</v>
      </c>
      <c r="E46" s="39" t="s">
        <v>64</v>
      </c>
      <c r="F46" s="39" t="s">
        <v>64</v>
      </c>
      <c r="G46" s="39" t="s">
        <v>64</v>
      </c>
      <c r="H46" s="39" t="s">
        <v>64</v>
      </c>
      <c r="I46" s="39" t="s">
        <v>64</v>
      </c>
      <c r="J46" s="39" t="s">
        <v>64</v>
      </c>
      <c r="K46" s="39" t="s">
        <v>64</v>
      </c>
      <c r="L46" s="39" t="s">
        <v>64</v>
      </c>
      <c r="M46" s="39" t="s">
        <v>64</v>
      </c>
      <c r="N46" s="39" t="s">
        <v>64</v>
      </c>
      <c r="O46" s="39" t="s">
        <v>64</v>
      </c>
      <c r="P46" s="175" t="s">
        <v>101</v>
      </c>
      <c r="Q46" s="5"/>
      <c r="R46" s="5"/>
      <c r="S46" s="5"/>
      <c r="T46" s="5"/>
    </row>
    <row r="47" spans="1:20" ht="3.95" customHeight="1" x14ac:dyDescent="0.25">
      <c r="A47" s="55" t="s">
        <v>100</v>
      </c>
      <c r="B47" s="55" t="s">
        <v>100</v>
      </c>
      <c r="C47" s="55" t="s">
        <v>100</v>
      </c>
      <c r="D47" s="55" t="s">
        <v>100</v>
      </c>
      <c r="E47" s="55" t="s">
        <v>100</v>
      </c>
      <c r="F47" s="55" t="s">
        <v>100</v>
      </c>
      <c r="G47" s="55" t="s">
        <v>100</v>
      </c>
      <c r="H47" s="55" t="s">
        <v>100</v>
      </c>
      <c r="I47" s="55" t="s">
        <v>100</v>
      </c>
      <c r="J47" s="55" t="s">
        <v>100</v>
      </c>
      <c r="K47" s="55" t="s">
        <v>100</v>
      </c>
      <c r="L47" s="55" t="s">
        <v>100</v>
      </c>
      <c r="M47" s="55" t="s">
        <v>100</v>
      </c>
      <c r="N47" s="55" t="s">
        <v>100</v>
      </c>
      <c r="O47" s="55" t="s">
        <v>100</v>
      </c>
      <c r="P47" s="175" t="s">
        <v>101</v>
      </c>
    </row>
  </sheetData>
  <sheetProtection sheet="1" objects="1" scenarios="1"/>
  <conditionalFormatting sqref="C9:O9 B17:O17 B42:O43">
    <cfRule type="expression" dxfId="2" priority="3">
      <formula>B9&lt;0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4" id="{42E76221-8319-3E4E-95E9-EB18888182D6}">
            <x14:iconSet iconSet="3Flags" custom="1">
              <x14:cfvo type="percent">
                <xm:f>0</xm:f>
              </x14:cfvo>
              <x14:cfvo type="num">
                <xm:f>0</xm:f>
              </x14:cfvo>
              <x14:cfvo type="num">
                <xm:f>1</xm:f>
              </x14:cfvo>
              <x14:cfIcon iconSet="3Flags" iconId="0"/>
              <x14:cfIcon iconSet="NoIcons" iconId="0"/>
              <x14:cfIcon iconSet="NoIcons" iconId="0"/>
            </x14:iconSet>
          </x14:cfRule>
          <xm:sqref>B17:O17 C9:O9</xm:sqref>
        </x14:conditionalFormatting>
        <x14:conditionalFormatting xmlns:xm="http://schemas.microsoft.com/office/excel/2006/main">
          <x14:cfRule type="iconSet" priority="6" id="{5C607068-8A4F-0042-BF0B-735B67B3B873}">
            <x14:iconSet iconSet="3Flags" custom="1">
              <x14:cfvo type="percent">
                <xm:f>0</xm:f>
              </x14:cfvo>
              <x14:cfvo type="num" gte="0">
                <xm:f>0</xm:f>
              </x14:cfvo>
              <x14:cfvo type="num" gte="0">
                <xm:f>1</xm:f>
              </x14:cfvo>
              <x14:cfIcon iconSet="3Flags" iconId="0"/>
              <x14:cfIcon iconSet="NoIcons" iconId="0"/>
              <x14:cfIcon iconSet="NoIcons" iconId="0"/>
            </x14:iconSet>
          </x14:cfRule>
          <xm:sqref>B42:O43</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9D5F4-B8EA-304C-A54E-C5E865B73DEF}">
  <dimension ref="A1:NX47"/>
  <sheetViews>
    <sheetView zoomScale="80" zoomScaleNormal="80" workbookViewId="0">
      <selection activeCell="F3" sqref="F3"/>
    </sheetView>
  </sheetViews>
  <sheetFormatPr defaultColWidth="10.875" defaultRowHeight="18" x14ac:dyDescent="0.25"/>
  <cols>
    <col min="1" max="1" width="70.875" style="2" customWidth="1"/>
    <col min="2" max="14" width="23.875" style="2" customWidth="1"/>
    <col min="15" max="15" width="0.625" style="2" customWidth="1"/>
    <col min="16" max="16384" width="10.875" style="2"/>
  </cols>
  <sheetData>
    <row r="1" spans="1:18" ht="60" customHeight="1" x14ac:dyDescent="0.25">
      <c r="A1" s="55" t="s">
        <v>231</v>
      </c>
      <c r="B1" s="39" t="s">
        <v>64</v>
      </c>
      <c r="C1" s="39" t="s">
        <v>64</v>
      </c>
      <c r="D1" s="39" t="s">
        <v>64</v>
      </c>
      <c r="E1" s="39" t="s">
        <v>64</v>
      </c>
      <c r="F1" s="39" t="s">
        <v>64</v>
      </c>
      <c r="G1" s="39" t="s">
        <v>64</v>
      </c>
      <c r="H1" s="39" t="s">
        <v>64</v>
      </c>
      <c r="I1" s="39" t="s">
        <v>64</v>
      </c>
      <c r="J1" s="39" t="s">
        <v>64</v>
      </c>
      <c r="K1" s="39" t="s">
        <v>64</v>
      </c>
      <c r="L1" s="39" t="s">
        <v>64</v>
      </c>
      <c r="M1" s="39" t="s">
        <v>64</v>
      </c>
      <c r="N1" s="39" t="s">
        <v>64</v>
      </c>
      <c r="O1" s="55" t="s">
        <v>101</v>
      </c>
    </row>
    <row r="2" spans="1:18" ht="30" customHeight="1" x14ac:dyDescent="0.25">
      <c r="A2" s="1" t="s">
        <v>25</v>
      </c>
      <c r="B2" s="39" t="s">
        <v>64</v>
      </c>
      <c r="C2" s="39" t="s">
        <v>64</v>
      </c>
      <c r="D2" s="39" t="s">
        <v>64</v>
      </c>
      <c r="E2" s="39" t="s">
        <v>64</v>
      </c>
      <c r="F2" s="39" t="s">
        <v>64</v>
      </c>
      <c r="G2" s="39" t="s">
        <v>64</v>
      </c>
      <c r="H2" s="39" t="s">
        <v>64</v>
      </c>
      <c r="I2" s="39" t="s">
        <v>64</v>
      </c>
      <c r="J2" s="39" t="s">
        <v>64</v>
      </c>
      <c r="K2" s="39" t="s">
        <v>64</v>
      </c>
      <c r="L2" s="39" t="s">
        <v>64</v>
      </c>
      <c r="M2" s="39" t="s">
        <v>64</v>
      </c>
      <c r="N2" s="39" t="s">
        <v>64</v>
      </c>
      <c r="O2" s="55" t="s">
        <v>101</v>
      </c>
      <c r="P2" s="5"/>
      <c r="Q2" s="5"/>
      <c r="R2" s="5"/>
    </row>
    <row r="3" spans="1:18" ht="24.95" customHeight="1" x14ac:dyDescent="0.25">
      <c r="A3" s="2" t="s">
        <v>108</v>
      </c>
      <c r="B3" s="39" t="s">
        <v>64</v>
      </c>
      <c r="C3" s="39" t="s">
        <v>64</v>
      </c>
      <c r="D3" s="39" t="s">
        <v>64</v>
      </c>
      <c r="E3" s="39" t="s">
        <v>64</v>
      </c>
      <c r="F3" s="39" t="s">
        <v>64</v>
      </c>
      <c r="G3" s="39" t="s">
        <v>64</v>
      </c>
      <c r="H3" s="39" t="s">
        <v>64</v>
      </c>
      <c r="I3" s="39" t="s">
        <v>64</v>
      </c>
      <c r="J3" s="39" t="s">
        <v>64</v>
      </c>
      <c r="K3" s="39" t="s">
        <v>64</v>
      </c>
      <c r="L3" s="39" t="s">
        <v>64</v>
      </c>
      <c r="M3" s="39" t="s">
        <v>64</v>
      </c>
      <c r="N3" s="39" t="s">
        <v>64</v>
      </c>
      <c r="O3" s="55" t="s">
        <v>101</v>
      </c>
      <c r="P3" s="5"/>
      <c r="Q3" s="5"/>
      <c r="R3" s="5"/>
    </row>
    <row r="4" spans="1:18" ht="18.75" x14ac:dyDescent="0.25">
      <c r="A4" s="6" t="s">
        <v>222</v>
      </c>
      <c r="B4" s="39" t="s">
        <v>64</v>
      </c>
      <c r="C4" s="39" t="s">
        <v>64</v>
      </c>
      <c r="D4" s="39" t="s">
        <v>64</v>
      </c>
      <c r="E4" s="39" t="s">
        <v>64</v>
      </c>
      <c r="F4" s="39" t="s">
        <v>64</v>
      </c>
      <c r="G4" s="39" t="s">
        <v>64</v>
      </c>
      <c r="H4" s="39" t="s">
        <v>64</v>
      </c>
      <c r="I4" s="39" t="s">
        <v>64</v>
      </c>
      <c r="J4" s="39" t="s">
        <v>64</v>
      </c>
      <c r="K4" s="39" t="s">
        <v>64</v>
      </c>
      <c r="L4" s="39" t="s">
        <v>64</v>
      </c>
      <c r="M4" s="39" t="s">
        <v>64</v>
      </c>
      <c r="N4" s="39" t="s">
        <v>64</v>
      </c>
      <c r="O4" s="55" t="s">
        <v>101</v>
      </c>
      <c r="P4" s="5"/>
      <c r="Q4" s="5"/>
      <c r="R4" s="5"/>
    </row>
    <row r="5" spans="1:18" ht="30" customHeight="1" x14ac:dyDescent="0.25">
      <c r="A5" s="156">
        <v>25.5</v>
      </c>
      <c r="B5" s="39" t="s">
        <v>64</v>
      </c>
      <c r="C5" s="39" t="s">
        <v>64</v>
      </c>
      <c r="D5" s="39" t="s">
        <v>64</v>
      </c>
      <c r="E5" s="39" t="s">
        <v>64</v>
      </c>
      <c r="F5" s="39" t="s">
        <v>64</v>
      </c>
      <c r="G5" s="39" t="s">
        <v>64</v>
      </c>
      <c r="H5" s="39" t="s">
        <v>64</v>
      </c>
      <c r="I5" s="39" t="s">
        <v>64</v>
      </c>
      <c r="J5" s="39" t="s">
        <v>64</v>
      </c>
      <c r="K5" s="39" t="s">
        <v>64</v>
      </c>
      <c r="L5" s="39" t="s">
        <v>64</v>
      </c>
      <c r="M5" s="39" t="s">
        <v>64</v>
      </c>
      <c r="N5" s="39" t="s">
        <v>64</v>
      </c>
      <c r="O5" s="55" t="s">
        <v>101</v>
      </c>
      <c r="P5" s="5"/>
      <c r="Q5" s="5"/>
      <c r="R5" s="5"/>
    </row>
    <row r="6" spans="1:18" ht="18.75" x14ac:dyDescent="0.25">
      <c r="A6" s="6" t="s">
        <v>171</v>
      </c>
      <c r="B6" s="39" t="s">
        <v>64</v>
      </c>
      <c r="C6" s="39" t="s">
        <v>64</v>
      </c>
      <c r="D6" s="39" t="s">
        <v>64</v>
      </c>
      <c r="E6" s="39" t="s">
        <v>64</v>
      </c>
      <c r="F6" s="39" t="s">
        <v>64</v>
      </c>
      <c r="G6" s="39" t="s">
        <v>64</v>
      </c>
      <c r="H6" s="39" t="s">
        <v>64</v>
      </c>
      <c r="I6" s="39" t="s">
        <v>64</v>
      </c>
      <c r="J6" s="39" t="s">
        <v>64</v>
      </c>
      <c r="K6" s="39" t="s">
        <v>64</v>
      </c>
      <c r="L6" s="39" t="s">
        <v>64</v>
      </c>
      <c r="M6" s="39" t="s">
        <v>64</v>
      </c>
      <c r="N6" s="39" t="s">
        <v>64</v>
      </c>
      <c r="O6" s="55" t="s">
        <v>101</v>
      </c>
      <c r="P6" s="5"/>
      <c r="Q6" s="5"/>
      <c r="R6" s="5"/>
    </row>
    <row r="7" spans="1:18" ht="39.950000000000003" customHeight="1" x14ac:dyDescent="0.25">
      <c r="A7" s="208">
        <v>46388</v>
      </c>
      <c r="B7" s="42" t="str">
        <f>UPPER(TEXT(Tilikauden_alku,"[$-040B]kkk"))</f>
        <v>TAMMI</v>
      </c>
      <c r="C7" s="42" t="str">
        <f>UPPER(TEXT(EOMONTH(Tilikauden_alku,1),"[$-040B]kkk"))</f>
        <v>HELMI</v>
      </c>
      <c r="D7" s="42" t="str">
        <f>UPPER(TEXT(EOMONTH(Tilikauden_alku,2),"[$-040B]kkk"))</f>
        <v>MAALIS</v>
      </c>
      <c r="E7" s="42" t="str">
        <f>UPPER(TEXT(EOMONTH(Tilikauden_alku,3),"[$-040B]kkk"))</f>
        <v>HUHTI</v>
      </c>
      <c r="F7" s="42" t="str">
        <f>UPPER(TEXT(EOMONTH(Tilikauden_alku,4),"[$-040B]kkk"))</f>
        <v>TOUKO</v>
      </c>
      <c r="G7" s="42" t="str">
        <f>UPPER(TEXT(EOMONTH(Tilikauden_alku,5),"[$-040B]kkk"))</f>
        <v>KESÄ</v>
      </c>
      <c r="H7" s="42" t="str">
        <f>UPPER(TEXT(EOMONTH(Tilikauden_alku,6),"[$-040B]kkk"))</f>
        <v>HEINÄ</v>
      </c>
      <c r="I7" s="42" t="str">
        <f>UPPER(TEXT(EOMONTH(Tilikauden_alku,7),"[$-040B]kkk"))</f>
        <v>ELO</v>
      </c>
      <c r="J7" s="42" t="str">
        <f>UPPER(TEXT(EOMONTH(Tilikauden_alku,8),"[$-040B]kkk"))</f>
        <v>SYYS</v>
      </c>
      <c r="K7" s="42" t="str">
        <f>UPPER(TEXT(EOMONTH(Tilikauden_alku,9),"[$-040B]kkk"))</f>
        <v>LOKA</v>
      </c>
      <c r="L7" s="42" t="str">
        <f>UPPER(TEXT(EOMONTH(Tilikauden_alku,10),"[$-040B]kkk"))</f>
        <v>MARRAS</v>
      </c>
      <c r="M7" s="42" t="str">
        <f>UPPER(TEXT(EOMONTH(Tilikauden_alku,11),"[$-040B]kkk"))</f>
        <v>JOULU</v>
      </c>
      <c r="N7" s="42" t="s">
        <v>36</v>
      </c>
      <c r="O7" s="55" t="s">
        <v>101</v>
      </c>
      <c r="P7" s="5"/>
      <c r="Q7" s="5"/>
      <c r="R7" s="5"/>
    </row>
    <row r="8" spans="1:18" ht="30" customHeight="1" x14ac:dyDescent="0.25">
      <c r="A8" s="43" t="s">
        <v>52</v>
      </c>
      <c r="B8" s="26" t="s">
        <v>38</v>
      </c>
      <c r="C8" s="26" t="s">
        <v>39</v>
      </c>
      <c r="D8" s="26" t="s">
        <v>41</v>
      </c>
      <c r="E8" s="26" t="s">
        <v>40</v>
      </c>
      <c r="F8" s="26" t="s">
        <v>42</v>
      </c>
      <c r="G8" s="26" t="s">
        <v>43</v>
      </c>
      <c r="H8" s="26" t="s">
        <v>44</v>
      </c>
      <c r="I8" s="26" t="s">
        <v>45</v>
      </c>
      <c r="J8" s="26" t="s">
        <v>46</v>
      </c>
      <c r="K8" s="26" t="s">
        <v>47</v>
      </c>
      <c r="L8" s="26" t="s">
        <v>48</v>
      </c>
      <c r="M8" s="26" t="s">
        <v>49</v>
      </c>
      <c r="N8" s="27" t="s">
        <v>23</v>
      </c>
      <c r="O8" s="55" t="s">
        <v>101</v>
      </c>
      <c r="P8" s="5"/>
      <c r="Q8" s="5"/>
      <c r="R8" s="5"/>
    </row>
    <row r="9" spans="1:18" ht="30" customHeight="1" x14ac:dyDescent="0.25">
      <c r="A9" s="44" t="s">
        <v>51</v>
      </c>
      <c r="B9" s="131">
        <f>Kassavirtalaskelma1v!N42</f>
        <v>0</v>
      </c>
      <c r="C9" s="131">
        <f>B42</f>
        <v>0</v>
      </c>
      <c r="D9" s="131">
        <f t="shared" ref="D9:M9" si="0">C42</f>
        <v>0</v>
      </c>
      <c r="E9" s="131">
        <f t="shared" si="0"/>
        <v>0</v>
      </c>
      <c r="F9" s="131">
        <f t="shared" si="0"/>
        <v>0</v>
      </c>
      <c r="G9" s="131">
        <f t="shared" si="0"/>
        <v>0</v>
      </c>
      <c r="H9" s="131">
        <f t="shared" si="0"/>
        <v>0</v>
      </c>
      <c r="I9" s="131">
        <f t="shared" si="0"/>
        <v>0</v>
      </c>
      <c r="J9" s="131">
        <f t="shared" si="0"/>
        <v>0</v>
      </c>
      <c r="K9" s="131">
        <f t="shared" si="0"/>
        <v>0</v>
      </c>
      <c r="L9" s="131">
        <f t="shared" si="0"/>
        <v>0</v>
      </c>
      <c r="M9" s="131">
        <f t="shared" si="0"/>
        <v>0</v>
      </c>
      <c r="N9" s="131"/>
      <c r="O9" s="55" t="s">
        <v>101</v>
      </c>
      <c r="P9" s="5"/>
      <c r="Q9" s="5"/>
      <c r="R9" s="5"/>
    </row>
    <row r="10" spans="1:18" ht="30" customHeight="1" x14ac:dyDescent="0.25">
      <c r="A10" s="17" t="s">
        <v>230</v>
      </c>
      <c r="B10" s="26" t="s">
        <v>38</v>
      </c>
      <c r="C10" s="26" t="s">
        <v>39</v>
      </c>
      <c r="D10" s="26" t="s">
        <v>41</v>
      </c>
      <c r="E10" s="26" t="s">
        <v>40</v>
      </c>
      <c r="F10" s="26" t="s">
        <v>42</v>
      </c>
      <c r="G10" s="26" t="s">
        <v>43</v>
      </c>
      <c r="H10" s="26" t="s">
        <v>44</v>
      </c>
      <c r="I10" s="26" t="s">
        <v>45</v>
      </c>
      <c r="J10" s="26" t="s">
        <v>46</v>
      </c>
      <c r="K10" s="26" t="s">
        <v>47</v>
      </c>
      <c r="L10" s="26" t="s">
        <v>48</v>
      </c>
      <c r="M10" s="26" t="s">
        <v>49</v>
      </c>
      <c r="N10" s="27" t="s">
        <v>23</v>
      </c>
      <c r="O10" s="55" t="s">
        <v>101</v>
      </c>
      <c r="P10" s="5"/>
      <c r="Q10" s="5"/>
      <c r="R10" s="5"/>
    </row>
    <row r="11" spans="1:18" ht="20.100000000000001" customHeight="1" x14ac:dyDescent="0.25">
      <c r="A11" s="45" t="s">
        <v>27</v>
      </c>
      <c r="B11" s="133"/>
      <c r="C11" s="133"/>
      <c r="D11" s="133"/>
      <c r="E11" s="133"/>
      <c r="F11" s="133"/>
      <c r="G11" s="133"/>
      <c r="H11" s="133"/>
      <c r="I11" s="133"/>
      <c r="J11" s="133"/>
      <c r="K11" s="133"/>
      <c r="L11" s="133"/>
      <c r="M11" s="134"/>
      <c r="N11" s="135">
        <f>SUM(Kassaanmaksu_taulukko_2[[#This Row],[Jakso 1]:[Jakso 12]])</f>
        <v>0</v>
      </c>
      <c r="O11" s="55" t="s">
        <v>101</v>
      </c>
      <c r="P11" s="5"/>
      <c r="Q11" s="5"/>
      <c r="R11" s="5"/>
    </row>
    <row r="12" spans="1:18" ht="20.100000000000001" customHeight="1" x14ac:dyDescent="0.25">
      <c r="A12" s="46" t="s">
        <v>28</v>
      </c>
      <c r="B12" s="137"/>
      <c r="C12" s="137"/>
      <c r="D12" s="137"/>
      <c r="E12" s="137"/>
      <c r="F12" s="137"/>
      <c r="G12" s="137"/>
      <c r="H12" s="137"/>
      <c r="I12" s="137"/>
      <c r="J12" s="137"/>
      <c r="K12" s="137"/>
      <c r="L12" s="137"/>
      <c r="M12" s="138"/>
      <c r="N12" s="139">
        <f>SUM(Kassaanmaksu_taulukko_2[[#This Row],[Jakso 1]:[Jakso 12]])</f>
        <v>0</v>
      </c>
      <c r="O12" s="55" t="s">
        <v>101</v>
      </c>
      <c r="P12" s="5"/>
      <c r="Q12" s="5"/>
      <c r="R12" s="5"/>
    </row>
    <row r="13" spans="1:18" ht="20.100000000000001" customHeight="1" thickBot="1" x14ac:dyDescent="0.3">
      <c r="A13" s="47" t="s">
        <v>29</v>
      </c>
      <c r="B13" s="141"/>
      <c r="C13" s="141"/>
      <c r="D13" s="141"/>
      <c r="E13" s="141"/>
      <c r="F13" s="141"/>
      <c r="G13" s="141"/>
      <c r="H13" s="141"/>
      <c r="I13" s="141"/>
      <c r="J13" s="141"/>
      <c r="K13" s="141"/>
      <c r="L13" s="141"/>
      <c r="M13" s="142"/>
      <c r="N13" s="143">
        <f>SUM(Kassaanmaksu_taulukko_2[[#This Row],[Jakso 1]:[Jakso 12]])</f>
        <v>0</v>
      </c>
      <c r="O13" s="55" t="s">
        <v>101</v>
      </c>
      <c r="P13" s="5"/>
      <c r="Q13" s="5"/>
      <c r="R13" s="5"/>
    </row>
    <row r="14" spans="1:18" ht="30" customHeight="1" x14ac:dyDescent="0.25">
      <c r="A14" s="79" t="s">
        <v>23</v>
      </c>
      <c r="B14" s="144">
        <f t="shared" ref="B14:M14" si="1">SUM(B11:B13)</f>
        <v>0</v>
      </c>
      <c r="C14" s="144">
        <f t="shared" si="1"/>
        <v>0</v>
      </c>
      <c r="D14" s="144">
        <f t="shared" si="1"/>
        <v>0</v>
      </c>
      <c r="E14" s="144">
        <f t="shared" si="1"/>
        <v>0</v>
      </c>
      <c r="F14" s="144">
        <f t="shared" si="1"/>
        <v>0</v>
      </c>
      <c r="G14" s="144">
        <f t="shared" si="1"/>
        <v>0</v>
      </c>
      <c r="H14" s="144">
        <f t="shared" si="1"/>
        <v>0</v>
      </c>
      <c r="I14" s="144">
        <f t="shared" si="1"/>
        <v>0</v>
      </c>
      <c r="J14" s="144">
        <f t="shared" si="1"/>
        <v>0</v>
      </c>
      <c r="K14" s="144">
        <f t="shared" si="1"/>
        <v>0</v>
      </c>
      <c r="L14" s="144">
        <f t="shared" si="1"/>
        <v>0</v>
      </c>
      <c r="M14" s="144">
        <f t="shared" si="1"/>
        <v>0</v>
      </c>
      <c r="N14" s="145">
        <f>SUM(Kassaanmaksu_taulukko_2[[#This Row],[Jakso 1]:[Jakso 12]])</f>
        <v>0</v>
      </c>
      <c r="O14" s="55" t="s">
        <v>101</v>
      </c>
      <c r="P14" s="5"/>
      <c r="Q14" s="5"/>
      <c r="R14" s="5"/>
    </row>
    <row r="15" spans="1:18" ht="30" customHeight="1" x14ac:dyDescent="0.25">
      <c r="A15" s="81" t="s">
        <v>224</v>
      </c>
      <c r="B15" s="146">
        <f>B14*(1+(Arvonlisäveroprosentti/100))</f>
        <v>0</v>
      </c>
      <c r="C15" s="146">
        <f t="shared" ref="C15:M15" si="2">C14*(1+(Arvonlisäveroprosentti/100))</f>
        <v>0</v>
      </c>
      <c r="D15" s="146">
        <f t="shared" si="2"/>
        <v>0</v>
      </c>
      <c r="E15" s="146">
        <f t="shared" si="2"/>
        <v>0</v>
      </c>
      <c r="F15" s="146">
        <f t="shared" si="2"/>
        <v>0</v>
      </c>
      <c r="G15" s="146">
        <f t="shared" si="2"/>
        <v>0</v>
      </c>
      <c r="H15" s="146">
        <f t="shared" si="2"/>
        <v>0</v>
      </c>
      <c r="I15" s="146">
        <f t="shared" si="2"/>
        <v>0</v>
      </c>
      <c r="J15" s="146">
        <f t="shared" si="2"/>
        <v>0</v>
      </c>
      <c r="K15" s="146">
        <f t="shared" si="2"/>
        <v>0</v>
      </c>
      <c r="L15" s="146">
        <f t="shared" si="2"/>
        <v>0</v>
      </c>
      <c r="M15" s="146">
        <f t="shared" si="2"/>
        <v>0</v>
      </c>
      <c r="N15" s="146">
        <f>SUM(Kassaanmaksu_taulukko_2[[#This Row],[Jakso 1]:[Jakso 12]])</f>
        <v>0</v>
      </c>
      <c r="O15" s="55" t="s">
        <v>101</v>
      </c>
      <c r="P15" s="5"/>
      <c r="Q15" s="5"/>
      <c r="R15" s="5"/>
    </row>
    <row r="16" spans="1:18" ht="30" customHeight="1" x14ac:dyDescent="0.25">
      <c r="A16" s="48" t="s">
        <v>53</v>
      </c>
      <c r="B16" s="26" t="s">
        <v>38</v>
      </c>
      <c r="C16" s="26" t="s">
        <v>39</v>
      </c>
      <c r="D16" s="26" t="s">
        <v>41</v>
      </c>
      <c r="E16" s="26" t="s">
        <v>40</v>
      </c>
      <c r="F16" s="26" t="s">
        <v>42</v>
      </c>
      <c r="G16" s="26" t="s">
        <v>43</v>
      </c>
      <c r="H16" s="26" t="s">
        <v>44</v>
      </c>
      <c r="I16" s="26" t="s">
        <v>45</v>
      </c>
      <c r="J16" s="26" t="s">
        <v>46</v>
      </c>
      <c r="K16" s="26" t="s">
        <v>47</v>
      </c>
      <c r="L16" s="26" t="s">
        <v>48</v>
      </c>
      <c r="M16" s="26" t="s">
        <v>49</v>
      </c>
      <c r="N16" s="27" t="s">
        <v>23</v>
      </c>
      <c r="O16" s="55" t="s">
        <v>101</v>
      </c>
      <c r="P16" s="5"/>
      <c r="Q16" s="5"/>
      <c r="R16" s="5"/>
    </row>
    <row r="17" spans="1:388" ht="30" customHeight="1" x14ac:dyDescent="0.25">
      <c r="A17" s="44" t="s">
        <v>50</v>
      </c>
      <c r="B17" s="131">
        <f>SUM(Alkukassa_taulukko_2[Jakso 1],B15)</f>
        <v>0</v>
      </c>
      <c r="C17" s="131">
        <f>SUM(Alkukassa_taulukko_2[Jakso 2],C15)</f>
        <v>0</v>
      </c>
      <c r="D17" s="131">
        <f>SUM(Alkukassa_taulukko_2[Jakso 3],D15)</f>
        <v>0</v>
      </c>
      <c r="E17" s="131">
        <f>SUM(Alkukassa_taulukko_2[Jakso 4],E15)</f>
        <v>0</v>
      </c>
      <c r="F17" s="131">
        <f>SUM(Alkukassa_taulukko_2[Jakso 5],F15)</f>
        <v>0</v>
      </c>
      <c r="G17" s="131">
        <f>SUM(Alkukassa_taulukko_2[Jakso 6],G15)</f>
        <v>0</v>
      </c>
      <c r="H17" s="131">
        <f>SUM(Alkukassa_taulukko_2[Jakso 7],H15)</f>
        <v>0</v>
      </c>
      <c r="I17" s="131">
        <f>SUM(Alkukassa_taulukko_2[Jakso 8],I15)</f>
        <v>0</v>
      </c>
      <c r="J17" s="131">
        <f>SUM(Alkukassa_taulukko_2[Jakso 9],J15)</f>
        <v>0</v>
      </c>
      <c r="K17" s="131">
        <f>SUM(Alkukassa_taulukko_2[Jakso 10],K15)</f>
        <v>0</v>
      </c>
      <c r="L17" s="131">
        <f>SUM(Alkukassa_taulukko_2[Jakso 11],L15)</f>
        <v>0</v>
      </c>
      <c r="M17" s="131">
        <f>SUM(Alkukassa_taulukko_2[Jakso 12],M15)</f>
        <v>0</v>
      </c>
      <c r="N17" s="131"/>
      <c r="O17" s="55" t="s">
        <v>101</v>
      </c>
      <c r="P17" s="5"/>
      <c r="Q17" s="5"/>
      <c r="R17" s="5"/>
    </row>
    <row r="18" spans="1:388" ht="30" customHeight="1" x14ac:dyDescent="0.25">
      <c r="A18" s="48" t="s">
        <v>225</v>
      </c>
      <c r="B18" s="26" t="s">
        <v>38</v>
      </c>
      <c r="C18" s="26" t="s">
        <v>39</v>
      </c>
      <c r="D18" s="26" t="s">
        <v>41</v>
      </c>
      <c r="E18" s="26" t="s">
        <v>40</v>
      </c>
      <c r="F18" s="26" t="s">
        <v>42</v>
      </c>
      <c r="G18" s="26" t="s">
        <v>43</v>
      </c>
      <c r="H18" s="26" t="s">
        <v>44</v>
      </c>
      <c r="I18" s="26" t="s">
        <v>45</v>
      </c>
      <c r="J18" s="26" t="s">
        <v>46</v>
      </c>
      <c r="K18" s="26" t="s">
        <v>47</v>
      </c>
      <c r="L18" s="26" t="s">
        <v>48</v>
      </c>
      <c r="M18" s="26" t="s">
        <v>49</v>
      </c>
      <c r="N18" s="27" t="s">
        <v>23</v>
      </c>
      <c r="O18" s="55" t="s">
        <v>101</v>
      </c>
      <c r="P18" s="5"/>
      <c r="Q18" s="5"/>
      <c r="R18" s="5"/>
    </row>
    <row r="19" spans="1:388" ht="20.100000000000001" customHeight="1" thickBot="1" x14ac:dyDescent="0.3">
      <c r="A19" s="83" t="s">
        <v>229</v>
      </c>
      <c r="B19" s="166"/>
      <c r="C19" s="166"/>
      <c r="D19" s="166"/>
      <c r="E19" s="166"/>
      <c r="F19" s="166"/>
      <c r="G19" s="166"/>
      <c r="H19" s="166"/>
      <c r="I19" s="166"/>
      <c r="J19" s="166"/>
      <c r="K19" s="166"/>
      <c r="L19" s="166"/>
      <c r="M19" s="166"/>
      <c r="N19" s="103">
        <f>SUM(Kassastamaksu_alv_taulukko_2[[#This Row],[Jakso 1]:[Jakso 12]])</f>
        <v>0</v>
      </c>
      <c r="O19" s="55" t="s">
        <v>101</v>
      </c>
      <c r="P19" s="5"/>
      <c r="Q19" s="5"/>
      <c r="R19" s="5"/>
    </row>
    <row r="20" spans="1:388" ht="30" customHeight="1" x14ac:dyDescent="0.25">
      <c r="A20" s="80" t="s">
        <v>223</v>
      </c>
      <c r="B20" s="147">
        <f>B19*(1+(Arvonlisäveroprosentti/100))</f>
        <v>0</v>
      </c>
      <c r="C20" s="147">
        <f t="shared" ref="C20:M20" si="3">C19*(1+(Arvonlisäveroprosentti/100))</f>
        <v>0</v>
      </c>
      <c r="D20" s="147">
        <f t="shared" si="3"/>
        <v>0</v>
      </c>
      <c r="E20" s="147">
        <f t="shared" si="3"/>
        <v>0</v>
      </c>
      <c r="F20" s="147">
        <f t="shared" si="3"/>
        <v>0</v>
      </c>
      <c r="G20" s="147">
        <f t="shared" si="3"/>
        <v>0</v>
      </c>
      <c r="H20" s="147">
        <f t="shared" si="3"/>
        <v>0</v>
      </c>
      <c r="I20" s="147">
        <f t="shared" si="3"/>
        <v>0</v>
      </c>
      <c r="J20" s="147">
        <f t="shared" si="3"/>
        <v>0</v>
      </c>
      <c r="K20" s="147">
        <f t="shared" si="3"/>
        <v>0</v>
      </c>
      <c r="L20" s="147">
        <f t="shared" si="3"/>
        <v>0</v>
      </c>
      <c r="M20" s="147">
        <f t="shared" si="3"/>
        <v>0</v>
      </c>
      <c r="N20" s="147">
        <f>SUM(Kassastamaksu_alv_taulukko_2[[#This Row],[Jakso 1]:[Jakso 12]])</f>
        <v>0</v>
      </c>
      <c r="O20" s="55" t="s">
        <v>101</v>
      </c>
      <c r="P20" s="5"/>
      <c r="Q20" s="5"/>
      <c r="R20" s="5"/>
    </row>
    <row r="21" spans="1:388" ht="30" customHeight="1" x14ac:dyDescent="0.25">
      <c r="A21" s="81" t="s">
        <v>228</v>
      </c>
      <c r="B21" s="148">
        <f>(Kassavirtalaskelma1v!M15-Kassavirtalaskelma1v!M14)-(Kassavirtalaskelma1v!M20-Kassavirtalaskelma1v!M19)</f>
        <v>0</v>
      </c>
      <c r="C21" s="148">
        <f>(Kassavirtalaskelma1v!N15-Kassavirtalaskelma1v!N14)-(Kassavirtalaskelma1v!N20-Kassavirtalaskelma1v!N19)</f>
        <v>0</v>
      </c>
      <c r="D21" s="148">
        <f t="shared" ref="D21:M21" si="4">(B15-B14)-(B20-B19)</f>
        <v>0</v>
      </c>
      <c r="E21" s="148">
        <f t="shared" si="4"/>
        <v>0</v>
      </c>
      <c r="F21" s="148">
        <f t="shared" si="4"/>
        <v>0</v>
      </c>
      <c r="G21" s="148">
        <f t="shared" si="4"/>
        <v>0</v>
      </c>
      <c r="H21" s="148">
        <f t="shared" si="4"/>
        <v>0</v>
      </c>
      <c r="I21" s="148">
        <f t="shared" si="4"/>
        <v>0</v>
      </c>
      <c r="J21" s="148">
        <f t="shared" si="4"/>
        <v>0</v>
      </c>
      <c r="K21" s="148">
        <f t="shared" si="4"/>
        <v>0</v>
      </c>
      <c r="L21" s="148">
        <f t="shared" si="4"/>
        <v>0</v>
      </c>
      <c r="M21" s="148">
        <f t="shared" si="4"/>
        <v>0</v>
      </c>
      <c r="N21" s="148">
        <f>SUM(Kassastamaksu_alv_taulukko_2[[#This Row],[Jakso 1]:[Jakso 12]])</f>
        <v>0</v>
      </c>
      <c r="O21" s="55" t="s">
        <v>101</v>
      </c>
      <c r="P21" s="5"/>
      <c r="Q21" s="5"/>
      <c r="R21" s="5"/>
    </row>
    <row r="22" spans="1:388" ht="30" customHeight="1" x14ac:dyDescent="0.25">
      <c r="A22" s="17" t="s">
        <v>30</v>
      </c>
      <c r="B22" s="26" t="s">
        <v>38</v>
      </c>
      <c r="C22" s="26" t="s">
        <v>39</v>
      </c>
      <c r="D22" s="26" t="s">
        <v>41</v>
      </c>
      <c r="E22" s="26" t="s">
        <v>40</v>
      </c>
      <c r="F22" s="26" t="s">
        <v>42</v>
      </c>
      <c r="G22" s="26" t="s">
        <v>43</v>
      </c>
      <c r="H22" s="26" t="s">
        <v>44</v>
      </c>
      <c r="I22" s="26" t="s">
        <v>45</v>
      </c>
      <c r="J22" s="26" t="s">
        <v>46</v>
      </c>
      <c r="K22" s="26" t="s">
        <v>47</v>
      </c>
      <c r="L22" s="26" t="s">
        <v>48</v>
      </c>
      <c r="M22" s="26" t="s">
        <v>49</v>
      </c>
      <c r="N22" s="27" t="s">
        <v>23</v>
      </c>
      <c r="O22" s="55" t="s">
        <v>101</v>
      </c>
      <c r="P22" s="5"/>
      <c r="Q22" s="5"/>
      <c r="R22" s="5"/>
    </row>
    <row r="23" spans="1:388" ht="20.100000000000001" customHeight="1" x14ac:dyDescent="0.25">
      <c r="A23" s="18" t="s">
        <v>115</v>
      </c>
      <c r="B23" s="94"/>
      <c r="C23" s="94"/>
      <c r="D23" s="94"/>
      <c r="E23" s="94"/>
      <c r="F23" s="94"/>
      <c r="G23" s="94"/>
      <c r="H23" s="94"/>
      <c r="I23" s="94"/>
      <c r="J23" s="94"/>
      <c r="K23" s="94"/>
      <c r="L23" s="94"/>
      <c r="M23" s="94"/>
      <c r="N23" s="149">
        <f>SUM(Kassastamaksu_taulukko_2[[#This Row],[Jakso 1]:[Jakso 12]])</f>
        <v>0</v>
      </c>
      <c r="O23" s="55" t="s">
        <v>101</v>
      </c>
      <c r="P23" s="5"/>
      <c r="Q23" s="5"/>
      <c r="R23" s="5"/>
    </row>
    <row r="24" spans="1:388" ht="20.100000000000001" customHeight="1" x14ac:dyDescent="0.25">
      <c r="A24" s="18" t="s">
        <v>116</v>
      </c>
      <c r="B24" s="94"/>
      <c r="C24" s="94"/>
      <c r="D24" s="94"/>
      <c r="E24" s="94"/>
      <c r="F24" s="94"/>
      <c r="G24" s="94"/>
      <c r="H24" s="94"/>
      <c r="I24" s="94"/>
      <c r="J24" s="94"/>
      <c r="K24" s="94"/>
      <c r="L24" s="94"/>
      <c r="M24" s="94"/>
      <c r="N24" s="149">
        <f>SUM(Kassastamaksu_taulukko_2[[#This Row],[Jakso 1]:[Jakso 12]])</f>
        <v>0</v>
      </c>
      <c r="O24" s="55" t="s">
        <v>101</v>
      </c>
      <c r="P24" s="77"/>
      <c r="Q24" s="77"/>
      <c r="R24" s="77"/>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8"/>
      <c r="GF24" s="78"/>
      <c r="GG24" s="78"/>
      <c r="GH24" s="78"/>
      <c r="GI24" s="78"/>
      <c r="GJ24" s="78"/>
      <c r="GK24" s="78"/>
      <c r="GL24" s="78"/>
      <c r="GM24" s="78"/>
      <c r="GN24" s="78"/>
      <c r="GO24" s="78"/>
      <c r="GP24" s="78"/>
      <c r="GQ24" s="78"/>
      <c r="GR24" s="78"/>
      <c r="GS24" s="78"/>
      <c r="GT24" s="78"/>
      <c r="GU24" s="78"/>
      <c r="GV24" s="78"/>
      <c r="GW24" s="78"/>
      <c r="GX24" s="78"/>
      <c r="GY24" s="78"/>
      <c r="GZ24" s="78"/>
      <c r="HA24" s="78"/>
      <c r="HB24" s="78"/>
      <c r="HC24" s="78"/>
      <c r="HD24" s="78"/>
      <c r="HE24" s="78"/>
      <c r="HF24" s="78"/>
      <c r="HG24" s="78"/>
      <c r="HH24" s="78"/>
      <c r="HI24" s="78"/>
      <c r="HJ24" s="78"/>
      <c r="HK24" s="78"/>
      <c r="HL24" s="78"/>
      <c r="HM24" s="78"/>
      <c r="HN24" s="78"/>
      <c r="HO24" s="78"/>
      <c r="HP24" s="78"/>
      <c r="HQ24" s="78"/>
      <c r="HR24" s="78"/>
      <c r="HS24" s="78"/>
      <c r="HT24" s="78"/>
      <c r="HU24" s="78"/>
      <c r="HV24" s="78"/>
      <c r="HW24" s="78"/>
      <c r="HX24" s="78"/>
      <c r="HY24" s="78"/>
      <c r="HZ24" s="78"/>
      <c r="IA24" s="78"/>
      <c r="IB24" s="78"/>
      <c r="IC24" s="78"/>
      <c r="ID24" s="78"/>
      <c r="IE24" s="78"/>
      <c r="IF24" s="78"/>
      <c r="IG24" s="78"/>
      <c r="IH24" s="78"/>
      <c r="II24" s="78"/>
      <c r="IJ24" s="78"/>
      <c r="IK24" s="78"/>
      <c r="IL24" s="78"/>
      <c r="IM24" s="78"/>
      <c r="IN24" s="78"/>
      <c r="IO24" s="78"/>
      <c r="IP24" s="78"/>
      <c r="IQ24" s="78"/>
      <c r="IR24" s="78"/>
      <c r="IS24" s="78"/>
      <c r="IT24" s="78"/>
      <c r="IU24" s="78"/>
      <c r="IV24" s="78"/>
      <c r="IW24" s="78"/>
      <c r="IX24" s="78"/>
      <c r="IY24" s="78"/>
      <c r="IZ24" s="78"/>
      <c r="JA24" s="78"/>
      <c r="JB24" s="78"/>
      <c r="JC24" s="78"/>
      <c r="JD24" s="78"/>
      <c r="JE24" s="78"/>
      <c r="JF24" s="78"/>
      <c r="JG24" s="78"/>
      <c r="JH24" s="78"/>
      <c r="JI24" s="78"/>
      <c r="JJ24" s="78"/>
      <c r="JK24" s="78"/>
      <c r="JL24" s="78"/>
      <c r="JM24" s="78"/>
      <c r="JN24" s="78"/>
      <c r="JO24" s="78"/>
      <c r="JP24" s="78"/>
      <c r="JQ24" s="78"/>
      <c r="JR24" s="78"/>
      <c r="JS24" s="78"/>
      <c r="JT24" s="78"/>
      <c r="JU24" s="78"/>
      <c r="JV24" s="78"/>
      <c r="JW24" s="78"/>
      <c r="JX24" s="78"/>
      <c r="JY24" s="78"/>
      <c r="JZ24" s="78"/>
      <c r="KA24" s="78"/>
      <c r="KB24" s="78"/>
      <c r="KC24" s="78"/>
      <c r="KD24" s="78"/>
      <c r="KE24" s="78"/>
      <c r="KF24" s="78"/>
      <c r="KG24" s="78"/>
      <c r="KH24" s="78"/>
      <c r="KI24" s="78"/>
      <c r="KJ24" s="78"/>
      <c r="KK24" s="78"/>
      <c r="KL24" s="78"/>
      <c r="KM24" s="78"/>
      <c r="KN24" s="78"/>
      <c r="KO24" s="78"/>
      <c r="KP24" s="78"/>
      <c r="KQ24" s="78"/>
      <c r="KR24" s="78"/>
      <c r="KS24" s="78"/>
      <c r="KT24" s="78"/>
      <c r="KU24" s="78"/>
      <c r="KV24" s="78"/>
      <c r="KW24" s="78"/>
      <c r="KX24" s="78"/>
      <c r="KY24" s="78"/>
      <c r="KZ24" s="78"/>
      <c r="LA24" s="78"/>
      <c r="LB24" s="78"/>
      <c r="LC24" s="78"/>
      <c r="LD24" s="78"/>
      <c r="LE24" s="78"/>
      <c r="LF24" s="78"/>
      <c r="LG24" s="78"/>
      <c r="LH24" s="78"/>
      <c r="LI24" s="78"/>
      <c r="LJ24" s="78"/>
      <c r="LK24" s="78"/>
      <c r="LL24" s="78"/>
      <c r="LM24" s="78"/>
      <c r="LN24" s="78"/>
      <c r="LO24" s="78"/>
      <c r="LP24" s="78"/>
      <c r="LQ24" s="78"/>
      <c r="LR24" s="78"/>
      <c r="LS24" s="78"/>
      <c r="LT24" s="78"/>
      <c r="LU24" s="78"/>
      <c r="LV24" s="78"/>
      <c r="LW24" s="78"/>
      <c r="LX24" s="78"/>
      <c r="LY24" s="78"/>
      <c r="LZ24" s="78"/>
      <c r="MA24" s="78"/>
      <c r="MB24" s="78"/>
      <c r="MC24" s="78"/>
      <c r="MD24" s="78"/>
      <c r="ME24" s="78"/>
      <c r="MF24" s="78"/>
      <c r="MG24" s="78"/>
      <c r="MH24" s="78"/>
      <c r="MI24" s="78"/>
      <c r="MJ24" s="78"/>
      <c r="MK24" s="78"/>
      <c r="ML24" s="78"/>
      <c r="MM24" s="78"/>
      <c r="MN24" s="78"/>
      <c r="MO24" s="78"/>
      <c r="MP24" s="78"/>
      <c r="MQ24" s="78"/>
      <c r="MR24" s="78"/>
      <c r="MS24" s="78"/>
      <c r="MT24" s="78"/>
      <c r="MU24" s="78"/>
      <c r="MV24" s="78"/>
      <c r="MW24" s="78"/>
      <c r="MX24" s="78"/>
      <c r="MY24" s="78"/>
      <c r="MZ24" s="78"/>
      <c r="NA24" s="78"/>
      <c r="NB24" s="78"/>
      <c r="NC24" s="78"/>
      <c r="ND24" s="78"/>
      <c r="NE24" s="78"/>
      <c r="NF24" s="78"/>
      <c r="NG24" s="78"/>
      <c r="NH24" s="78"/>
      <c r="NI24" s="78"/>
      <c r="NJ24" s="78"/>
      <c r="NK24" s="78"/>
      <c r="NL24" s="78"/>
      <c r="NM24" s="78"/>
      <c r="NN24" s="78"/>
      <c r="NO24" s="78"/>
      <c r="NP24" s="78"/>
      <c r="NQ24" s="78"/>
      <c r="NR24" s="78"/>
      <c r="NS24" s="78"/>
      <c r="NT24" s="78"/>
      <c r="NU24" s="78"/>
      <c r="NV24" s="78"/>
      <c r="NW24" s="78"/>
      <c r="NX24" s="78"/>
    </row>
    <row r="25" spans="1:388" ht="20.100000000000001" customHeight="1" x14ac:dyDescent="0.25">
      <c r="A25" s="40" t="s">
        <v>188</v>
      </c>
      <c r="B25" s="150"/>
      <c r="C25" s="150"/>
      <c r="D25" s="150"/>
      <c r="E25" s="150"/>
      <c r="F25" s="150"/>
      <c r="G25" s="150"/>
      <c r="H25" s="150"/>
      <c r="I25" s="150"/>
      <c r="J25" s="150"/>
      <c r="K25" s="150"/>
      <c r="L25" s="150"/>
      <c r="M25" s="150"/>
      <c r="N25" s="151">
        <f>SUM(Kassastamaksu_taulukko_2[[#This Row],[Jakso 1]:[Jakso 12]])</f>
        <v>0</v>
      </c>
      <c r="O25" s="55" t="s">
        <v>101</v>
      </c>
      <c r="P25" s="77"/>
      <c r="Q25" s="77"/>
      <c r="R25" s="77"/>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c r="GV25" s="78"/>
      <c r="GW25" s="78"/>
      <c r="GX25" s="78"/>
      <c r="GY25" s="78"/>
      <c r="GZ25" s="78"/>
      <c r="HA25" s="78"/>
      <c r="HB25" s="78"/>
      <c r="HC25" s="78"/>
      <c r="HD25" s="78"/>
      <c r="HE25" s="78"/>
      <c r="HF25" s="78"/>
      <c r="HG25" s="78"/>
      <c r="HH25" s="78"/>
      <c r="HI25" s="78"/>
      <c r="HJ25" s="78"/>
      <c r="HK25" s="78"/>
      <c r="HL25" s="78"/>
      <c r="HM25" s="78"/>
      <c r="HN25" s="78"/>
      <c r="HO25" s="78"/>
      <c r="HP25" s="78"/>
      <c r="HQ25" s="78"/>
      <c r="HR25" s="78"/>
      <c r="HS25" s="78"/>
      <c r="HT25" s="78"/>
      <c r="HU25" s="78"/>
      <c r="HV25" s="78"/>
      <c r="HW25" s="78"/>
      <c r="HX25" s="78"/>
      <c r="HY25" s="78"/>
      <c r="HZ25" s="78"/>
      <c r="IA25" s="78"/>
      <c r="IB25" s="78"/>
      <c r="IC25" s="78"/>
      <c r="ID25" s="78"/>
      <c r="IE25" s="78"/>
      <c r="IF25" s="78"/>
      <c r="IG25" s="78"/>
      <c r="IH25" s="78"/>
      <c r="II25" s="78"/>
      <c r="IJ25" s="78"/>
      <c r="IK25" s="78"/>
      <c r="IL25" s="78"/>
      <c r="IM25" s="78"/>
      <c r="IN25" s="78"/>
      <c r="IO25" s="78"/>
      <c r="IP25" s="78"/>
      <c r="IQ25" s="78"/>
      <c r="IR25" s="78"/>
      <c r="IS25" s="78"/>
      <c r="IT25" s="78"/>
      <c r="IU25" s="78"/>
      <c r="IV25" s="78"/>
      <c r="IW25" s="78"/>
      <c r="IX25" s="78"/>
      <c r="IY25" s="78"/>
      <c r="IZ25" s="78"/>
      <c r="JA25" s="78"/>
      <c r="JB25" s="78"/>
      <c r="JC25" s="78"/>
      <c r="JD25" s="78"/>
      <c r="JE25" s="78"/>
      <c r="JF25" s="78"/>
      <c r="JG25" s="78"/>
      <c r="JH25" s="78"/>
      <c r="JI25" s="78"/>
      <c r="JJ25" s="78"/>
      <c r="JK25" s="78"/>
      <c r="JL25" s="78"/>
      <c r="JM25" s="78"/>
      <c r="JN25" s="78"/>
      <c r="JO25" s="78"/>
      <c r="JP25" s="78"/>
      <c r="JQ25" s="78"/>
      <c r="JR25" s="78"/>
      <c r="JS25" s="78"/>
      <c r="JT25" s="78"/>
      <c r="JU25" s="78"/>
      <c r="JV25" s="78"/>
      <c r="JW25" s="78"/>
      <c r="JX25" s="78"/>
      <c r="JY25" s="78"/>
      <c r="JZ25" s="78"/>
      <c r="KA25" s="78"/>
      <c r="KB25" s="78"/>
      <c r="KC25" s="78"/>
      <c r="KD25" s="78"/>
      <c r="KE25" s="78"/>
      <c r="KF25" s="78"/>
      <c r="KG25" s="78"/>
      <c r="KH25" s="78"/>
      <c r="KI25" s="78"/>
      <c r="KJ25" s="78"/>
      <c r="KK25" s="78"/>
      <c r="KL25" s="78"/>
      <c r="KM25" s="78"/>
      <c r="KN25" s="78"/>
      <c r="KO25" s="78"/>
      <c r="KP25" s="78"/>
      <c r="KQ25" s="78"/>
      <c r="KR25" s="78"/>
      <c r="KS25" s="78"/>
      <c r="KT25" s="78"/>
      <c r="KU25" s="78"/>
      <c r="KV25" s="78"/>
      <c r="KW25" s="78"/>
      <c r="KX25" s="78"/>
      <c r="KY25" s="78"/>
      <c r="KZ25" s="78"/>
      <c r="LA25" s="78"/>
      <c r="LB25" s="78"/>
      <c r="LC25" s="78"/>
      <c r="LD25" s="78"/>
      <c r="LE25" s="78"/>
      <c r="LF25" s="78"/>
      <c r="LG25" s="78"/>
      <c r="LH25" s="78"/>
      <c r="LI25" s="78"/>
      <c r="LJ25" s="78"/>
      <c r="LK25" s="78"/>
      <c r="LL25" s="78"/>
      <c r="LM25" s="78"/>
      <c r="LN25" s="78"/>
      <c r="LO25" s="78"/>
      <c r="LP25" s="78"/>
      <c r="LQ25" s="78"/>
      <c r="LR25" s="78"/>
      <c r="LS25" s="78"/>
      <c r="LT25" s="78"/>
      <c r="LU25" s="78"/>
      <c r="LV25" s="78"/>
      <c r="LW25" s="78"/>
      <c r="LX25" s="78"/>
      <c r="LY25" s="78"/>
      <c r="LZ25" s="78"/>
      <c r="MA25" s="78"/>
      <c r="MB25" s="78"/>
      <c r="MC25" s="78"/>
      <c r="MD25" s="78"/>
      <c r="ME25" s="78"/>
      <c r="MF25" s="78"/>
      <c r="MG25" s="78"/>
      <c r="MH25" s="78"/>
      <c r="MI25" s="78"/>
      <c r="MJ25" s="78"/>
      <c r="MK25" s="78"/>
      <c r="ML25" s="78"/>
      <c r="MM25" s="78"/>
      <c r="MN25" s="78"/>
      <c r="MO25" s="78"/>
      <c r="MP25" s="78"/>
      <c r="MQ25" s="78"/>
      <c r="MR25" s="78"/>
      <c r="MS25" s="78"/>
      <c r="MT25" s="78"/>
      <c r="MU25" s="78"/>
      <c r="MV25" s="78"/>
      <c r="MW25" s="78"/>
      <c r="MX25" s="78"/>
      <c r="MY25" s="78"/>
      <c r="MZ25" s="78"/>
      <c r="NA25" s="78"/>
      <c r="NB25" s="78"/>
      <c r="NC25" s="78"/>
      <c r="ND25" s="78"/>
      <c r="NE25" s="78"/>
      <c r="NF25" s="78"/>
      <c r="NG25" s="78"/>
      <c r="NH25" s="78"/>
      <c r="NI25" s="78"/>
      <c r="NJ25" s="78"/>
      <c r="NK25" s="78"/>
      <c r="NL25" s="78"/>
      <c r="NM25" s="78"/>
      <c r="NN25" s="78"/>
      <c r="NO25" s="78"/>
      <c r="NP25" s="78"/>
      <c r="NQ25" s="78"/>
      <c r="NR25" s="78"/>
      <c r="NS25" s="78"/>
      <c r="NT25" s="78"/>
      <c r="NU25" s="78"/>
      <c r="NV25" s="78"/>
      <c r="NW25" s="78"/>
      <c r="NX25" s="78"/>
    </row>
    <row r="26" spans="1:388" ht="20.100000000000001" customHeight="1" x14ac:dyDescent="0.25">
      <c r="A26" s="41" t="s">
        <v>187</v>
      </c>
      <c r="B26" s="152"/>
      <c r="C26" s="152"/>
      <c r="D26" s="152"/>
      <c r="E26" s="152"/>
      <c r="F26" s="152"/>
      <c r="G26" s="152"/>
      <c r="H26" s="152"/>
      <c r="I26" s="152"/>
      <c r="J26" s="152"/>
      <c r="K26" s="152"/>
      <c r="L26" s="152"/>
      <c r="M26" s="152"/>
      <c r="N26" s="153">
        <f>SUM(Kassastamaksu_taulukko_2[[#This Row],[Jakso 1]:[Jakso 12]])</f>
        <v>0</v>
      </c>
      <c r="O26" s="55" t="s">
        <v>101</v>
      </c>
      <c r="P26" s="5"/>
      <c r="Q26" s="5"/>
      <c r="R26" s="5"/>
    </row>
    <row r="27" spans="1:388" ht="20.100000000000001" customHeight="1" x14ac:dyDescent="0.25">
      <c r="A27" s="18" t="s">
        <v>11</v>
      </c>
      <c r="B27" s="94"/>
      <c r="C27" s="94"/>
      <c r="D27" s="94"/>
      <c r="E27" s="94"/>
      <c r="F27" s="94"/>
      <c r="G27" s="94"/>
      <c r="H27" s="94"/>
      <c r="I27" s="94"/>
      <c r="J27" s="94"/>
      <c r="K27" s="94"/>
      <c r="L27" s="94"/>
      <c r="M27" s="94"/>
      <c r="N27" s="149">
        <f>SUM(Kassastamaksu_taulukko_2[[#This Row],[Jakso 1]:[Jakso 12]])</f>
        <v>0</v>
      </c>
      <c r="O27" s="55" t="s">
        <v>101</v>
      </c>
      <c r="P27" s="5"/>
      <c r="Q27" s="5"/>
      <c r="R27" s="5"/>
    </row>
    <row r="28" spans="1:388" ht="20.100000000000001" customHeight="1" x14ac:dyDescent="0.25">
      <c r="A28" s="40" t="s">
        <v>117</v>
      </c>
      <c r="B28" s="150"/>
      <c r="C28" s="150"/>
      <c r="D28" s="150"/>
      <c r="E28" s="150"/>
      <c r="F28" s="150"/>
      <c r="G28" s="150"/>
      <c r="H28" s="150"/>
      <c r="I28" s="150"/>
      <c r="J28" s="150"/>
      <c r="K28" s="150"/>
      <c r="L28" s="150"/>
      <c r="M28" s="150"/>
      <c r="N28" s="151">
        <f>SUM(Kassastamaksu_taulukko_2[[#This Row],[Jakso 1]:[Jakso 12]])</f>
        <v>0</v>
      </c>
      <c r="O28" s="55" t="s">
        <v>101</v>
      </c>
      <c r="P28" s="5"/>
      <c r="Q28" s="5"/>
      <c r="R28" s="5"/>
    </row>
    <row r="29" spans="1:388" ht="20.100000000000001" customHeight="1" x14ac:dyDescent="0.25">
      <c r="A29" s="41" t="s">
        <v>15</v>
      </c>
      <c r="B29" s="152"/>
      <c r="C29" s="152"/>
      <c r="D29" s="152"/>
      <c r="E29" s="152"/>
      <c r="F29" s="152"/>
      <c r="G29" s="152"/>
      <c r="H29" s="152"/>
      <c r="I29" s="152"/>
      <c r="J29" s="152"/>
      <c r="K29" s="152"/>
      <c r="L29" s="152"/>
      <c r="M29" s="152"/>
      <c r="N29" s="153">
        <f>SUM(Kassastamaksu_taulukko_2[[#This Row],[Jakso 1]:[Jakso 12]])</f>
        <v>0</v>
      </c>
      <c r="O29" s="55" t="s">
        <v>101</v>
      </c>
      <c r="P29" s="5"/>
      <c r="Q29" s="5"/>
      <c r="R29" s="5"/>
    </row>
    <row r="30" spans="1:388" ht="20.100000000000001" customHeight="1" x14ac:dyDescent="0.25">
      <c r="A30" s="18" t="s">
        <v>118</v>
      </c>
      <c r="B30" s="94"/>
      <c r="C30" s="94"/>
      <c r="D30" s="94"/>
      <c r="E30" s="94"/>
      <c r="F30" s="94"/>
      <c r="G30" s="94"/>
      <c r="H30" s="94"/>
      <c r="I30" s="94"/>
      <c r="J30" s="94"/>
      <c r="K30" s="94"/>
      <c r="L30" s="94"/>
      <c r="M30" s="94"/>
      <c r="N30" s="149">
        <f>SUM(Kassastamaksu_taulukko_2[[#This Row],[Jakso 1]:[Jakso 12]])</f>
        <v>0</v>
      </c>
      <c r="O30" s="55" t="s">
        <v>101</v>
      </c>
      <c r="P30" s="5"/>
      <c r="Q30" s="5"/>
      <c r="R30" s="5"/>
    </row>
    <row r="31" spans="1:388" ht="20.100000000000001" customHeight="1" thickBot="1" x14ac:dyDescent="0.3">
      <c r="A31" s="18" t="s">
        <v>119</v>
      </c>
      <c r="B31" s="94"/>
      <c r="C31" s="94"/>
      <c r="D31" s="94"/>
      <c r="E31" s="94"/>
      <c r="F31" s="94"/>
      <c r="G31" s="94"/>
      <c r="H31" s="94"/>
      <c r="I31" s="94"/>
      <c r="J31" s="94"/>
      <c r="K31" s="94"/>
      <c r="L31" s="94"/>
      <c r="M31" s="94"/>
      <c r="N31" s="149">
        <f>SUM(Kassastamaksu_taulukko_2[[#This Row],[Jakso 1]:[Jakso 12]])</f>
        <v>0</v>
      </c>
      <c r="O31" s="55" t="s">
        <v>101</v>
      </c>
      <c r="P31" s="5"/>
      <c r="Q31" s="5"/>
      <c r="R31" s="5"/>
    </row>
    <row r="32" spans="1:388" ht="30" customHeight="1" x14ac:dyDescent="0.25">
      <c r="A32" s="82" t="s">
        <v>32</v>
      </c>
      <c r="B32" s="154">
        <f>SUM(Kassastamaksu_taulukko_2[Jakso 1],B19,B21)</f>
        <v>0</v>
      </c>
      <c r="C32" s="154">
        <f>SUM(Kassastamaksu_taulukko_2[Jakso 2],C19,C21)</f>
        <v>0</v>
      </c>
      <c r="D32" s="154">
        <f>SUM(Kassastamaksu_taulukko_2[Jakso 3],D19,D21)</f>
        <v>0</v>
      </c>
      <c r="E32" s="154">
        <f>SUM(Kassastamaksu_taulukko_2[Jakso 4],E19,E21)</f>
        <v>0</v>
      </c>
      <c r="F32" s="154">
        <f>SUM(Kassastamaksu_taulukko_2[Jakso 5],F19,F21)</f>
        <v>0</v>
      </c>
      <c r="G32" s="154">
        <f>SUM(Kassastamaksu_taulukko_2[Jakso 6],G19,G21)</f>
        <v>0</v>
      </c>
      <c r="H32" s="154">
        <f>SUM(Kassastamaksu_taulukko_2[Jakso 7],H19,H21)</f>
        <v>0</v>
      </c>
      <c r="I32" s="154">
        <f>SUM(Kassastamaksu_taulukko_2[Jakso 8],I19,I21)</f>
        <v>0</v>
      </c>
      <c r="J32" s="154">
        <f>SUM(Kassastamaksu_taulukko_2[Jakso 9],J19,J21)</f>
        <v>0</v>
      </c>
      <c r="K32" s="154">
        <f>SUM(Kassastamaksu_taulukko_2[Jakso 10],K19,K21)</f>
        <v>0</v>
      </c>
      <c r="L32" s="154">
        <f>SUM(Kassastamaksu_taulukko_2[Jakso 11],L19,L21)</f>
        <v>0</v>
      </c>
      <c r="M32" s="154">
        <f>SUM(Kassastamaksu_taulukko_2[Jakso 12],M19,M21)</f>
        <v>0</v>
      </c>
      <c r="N32" s="154">
        <f>SUM(Kassastamaksu_taulukko_2[[#Totals],[Jakso 1]:[Jakso 12]])</f>
        <v>0</v>
      </c>
      <c r="O32" s="55" t="s">
        <v>101</v>
      </c>
      <c r="P32" s="5"/>
      <c r="Q32" s="5"/>
      <c r="R32" s="5"/>
    </row>
    <row r="33" spans="1:18" ht="30" customHeight="1" x14ac:dyDescent="0.25">
      <c r="A33" s="17" t="s">
        <v>120</v>
      </c>
      <c r="B33" s="26" t="s">
        <v>38</v>
      </c>
      <c r="C33" s="26" t="s">
        <v>39</v>
      </c>
      <c r="D33" s="26" t="s">
        <v>41</v>
      </c>
      <c r="E33" s="26" t="s">
        <v>40</v>
      </c>
      <c r="F33" s="26" t="s">
        <v>42</v>
      </c>
      <c r="G33" s="26" t="s">
        <v>43</v>
      </c>
      <c r="H33" s="26" t="s">
        <v>44</v>
      </c>
      <c r="I33" s="26" t="s">
        <v>45</v>
      </c>
      <c r="J33" s="26" t="s">
        <v>46</v>
      </c>
      <c r="K33" s="26" t="s">
        <v>47</v>
      </c>
      <c r="L33" s="26" t="s">
        <v>48</v>
      </c>
      <c r="M33" s="26" t="s">
        <v>49</v>
      </c>
      <c r="N33" s="27" t="s">
        <v>23</v>
      </c>
      <c r="O33" s="55" t="s">
        <v>101</v>
      </c>
      <c r="P33" s="5"/>
      <c r="Q33" s="5"/>
      <c r="R33" s="5"/>
    </row>
    <row r="34" spans="1:18" ht="20.100000000000001" customHeight="1" x14ac:dyDescent="0.25">
      <c r="A34" s="18" t="s">
        <v>126</v>
      </c>
      <c r="B34" s="94"/>
      <c r="C34" s="94"/>
      <c r="D34" s="94"/>
      <c r="E34" s="94"/>
      <c r="F34" s="94"/>
      <c r="G34" s="94"/>
      <c r="H34" s="94"/>
      <c r="I34" s="94"/>
      <c r="J34" s="94"/>
      <c r="K34" s="94"/>
      <c r="L34" s="94"/>
      <c r="M34" s="155"/>
      <c r="N34" s="149">
        <f>SUM(Rahoitus_taulukko_2[[#This Row],[Jakso 1]:[Jakso 12]])</f>
        <v>0</v>
      </c>
      <c r="O34" s="55" t="s">
        <v>101</v>
      </c>
      <c r="P34" s="5"/>
      <c r="Q34" s="5"/>
      <c r="R34" s="5"/>
    </row>
    <row r="35" spans="1:18" ht="20.100000000000001" customHeight="1" x14ac:dyDescent="0.25">
      <c r="A35" s="18" t="s">
        <v>121</v>
      </c>
      <c r="B35" s="94"/>
      <c r="C35" s="94"/>
      <c r="D35" s="94"/>
      <c r="E35" s="94"/>
      <c r="F35" s="94"/>
      <c r="G35" s="94"/>
      <c r="H35" s="94"/>
      <c r="I35" s="94"/>
      <c r="J35" s="94"/>
      <c r="K35" s="94"/>
      <c r="L35" s="94"/>
      <c r="M35" s="94"/>
      <c r="N35" s="149">
        <f>SUM(Rahoitus_taulukko_2[[#This Row],[Jakso 1]:[Jakso 12]])</f>
        <v>0</v>
      </c>
      <c r="O35" s="55" t="s">
        <v>101</v>
      </c>
      <c r="P35" s="5"/>
      <c r="Q35" s="5"/>
      <c r="R35" s="5"/>
    </row>
    <row r="36" spans="1:18" ht="20.100000000000001" customHeight="1" x14ac:dyDescent="0.25">
      <c r="A36" s="40" t="s">
        <v>122</v>
      </c>
      <c r="B36" s="150"/>
      <c r="C36" s="150"/>
      <c r="D36" s="150"/>
      <c r="E36" s="150"/>
      <c r="F36" s="150"/>
      <c r="G36" s="150"/>
      <c r="H36" s="150"/>
      <c r="I36" s="150"/>
      <c r="J36" s="150"/>
      <c r="K36" s="150"/>
      <c r="L36" s="150"/>
      <c r="M36" s="150"/>
      <c r="N36" s="151">
        <f>SUM(Rahoitus_taulukko_2[[#This Row],[Jakso 1]:[Jakso 12]])</f>
        <v>0</v>
      </c>
      <c r="O36" s="55" t="s">
        <v>101</v>
      </c>
      <c r="P36" s="5"/>
      <c r="Q36" s="5"/>
      <c r="R36" s="5"/>
    </row>
    <row r="37" spans="1:18" ht="20.100000000000001" customHeight="1" x14ac:dyDescent="0.25">
      <c r="A37" s="41" t="s">
        <v>127</v>
      </c>
      <c r="B37" s="152"/>
      <c r="C37" s="152"/>
      <c r="D37" s="152"/>
      <c r="E37" s="152"/>
      <c r="F37" s="152"/>
      <c r="G37" s="152"/>
      <c r="H37" s="152"/>
      <c r="I37" s="152"/>
      <c r="J37" s="152"/>
      <c r="K37" s="152"/>
      <c r="L37" s="152"/>
      <c r="M37" s="152"/>
      <c r="N37" s="153">
        <f>SUM(Rahoitus_taulukko_2[[#This Row],[Jakso 1]:[Jakso 12]])</f>
        <v>0</v>
      </c>
      <c r="O37" s="55" t="s">
        <v>101</v>
      </c>
      <c r="P37" s="5"/>
      <c r="Q37" s="5"/>
      <c r="R37" s="5"/>
    </row>
    <row r="38" spans="1:18" ht="20.100000000000001" customHeight="1" x14ac:dyDescent="0.25">
      <c r="A38" s="18" t="s">
        <v>123</v>
      </c>
      <c r="B38" s="94"/>
      <c r="C38" s="94"/>
      <c r="D38" s="94"/>
      <c r="E38" s="94"/>
      <c r="F38" s="94"/>
      <c r="G38" s="94"/>
      <c r="H38" s="94"/>
      <c r="I38" s="94"/>
      <c r="J38" s="94"/>
      <c r="K38" s="94"/>
      <c r="L38" s="94"/>
      <c r="M38" s="94"/>
      <c r="N38" s="149">
        <f>SUM(Rahoitus_taulukko_2[[#This Row],[Jakso 1]:[Jakso 12]])</f>
        <v>0</v>
      </c>
      <c r="O38" s="55" t="s">
        <v>101</v>
      </c>
      <c r="P38" s="5"/>
      <c r="Q38" s="5"/>
      <c r="R38" s="5"/>
    </row>
    <row r="39" spans="1:18" ht="20.100000000000001" customHeight="1" thickBot="1" x14ac:dyDescent="0.3">
      <c r="A39" s="40" t="s">
        <v>124</v>
      </c>
      <c r="B39" s="150"/>
      <c r="C39" s="150"/>
      <c r="D39" s="150"/>
      <c r="E39" s="150"/>
      <c r="F39" s="150"/>
      <c r="G39" s="150"/>
      <c r="H39" s="150"/>
      <c r="I39" s="150"/>
      <c r="J39" s="150"/>
      <c r="K39" s="150"/>
      <c r="L39" s="150"/>
      <c r="M39" s="150"/>
      <c r="N39" s="151">
        <f>SUM(Rahoitus_taulukko_2[[#This Row],[Jakso 1]:[Jakso 12]])</f>
        <v>0</v>
      </c>
      <c r="O39" s="55" t="s">
        <v>101</v>
      </c>
      <c r="P39" s="5"/>
      <c r="Q39" s="5"/>
      <c r="R39" s="5"/>
    </row>
    <row r="40" spans="1:18" ht="30" customHeight="1" x14ac:dyDescent="0.25">
      <c r="A40" s="169" t="s">
        <v>125</v>
      </c>
      <c r="B40" s="170">
        <f t="shared" ref="B40:M40" si="5">SUM(-B34,B35:B36,-B37,B38:B39)</f>
        <v>0</v>
      </c>
      <c r="C40" s="170">
        <f t="shared" si="5"/>
        <v>0</v>
      </c>
      <c r="D40" s="170">
        <f t="shared" si="5"/>
        <v>0</v>
      </c>
      <c r="E40" s="170">
        <f t="shared" si="5"/>
        <v>0</v>
      </c>
      <c r="F40" s="170">
        <f t="shared" si="5"/>
        <v>0</v>
      </c>
      <c r="G40" s="170">
        <f t="shared" si="5"/>
        <v>0</v>
      </c>
      <c r="H40" s="170">
        <f t="shared" si="5"/>
        <v>0</v>
      </c>
      <c r="I40" s="170">
        <f t="shared" si="5"/>
        <v>0</v>
      </c>
      <c r="J40" s="170">
        <f t="shared" si="5"/>
        <v>0</v>
      </c>
      <c r="K40" s="170">
        <f t="shared" si="5"/>
        <v>0</v>
      </c>
      <c r="L40" s="170">
        <f t="shared" si="5"/>
        <v>0</v>
      </c>
      <c r="M40" s="170">
        <f t="shared" si="5"/>
        <v>0</v>
      </c>
      <c r="N40" s="170">
        <f>SUM(Rahoitus_taulukko_2[[#Totals],[Jakso 1]:[Jakso 12]])</f>
        <v>0</v>
      </c>
      <c r="O40" s="55" t="s">
        <v>101</v>
      </c>
      <c r="P40" s="5"/>
      <c r="Q40" s="5"/>
      <c r="R40" s="5"/>
    </row>
    <row r="41" spans="1:18" ht="30" customHeight="1" x14ac:dyDescent="0.25">
      <c r="A41" s="171" t="s">
        <v>33</v>
      </c>
      <c r="B41" s="172" t="s">
        <v>38</v>
      </c>
      <c r="C41" s="172" t="s">
        <v>39</v>
      </c>
      <c r="D41" s="172" t="s">
        <v>41</v>
      </c>
      <c r="E41" s="172" t="s">
        <v>40</v>
      </c>
      <c r="F41" s="172" t="s">
        <v>42</v>
      </c>
      <c r="G41" s="172" t="s">
        <v>43</v>
      </c>
      <c r="H41" s="172" t="s">
        <v>44</v>
      </c>
      <c r="I41" s="172" t="s">
        <v>45</v>
      </c>
      <c r="J41" s="172" t="s">
        <v>46</v>
      </c>
      <c r="K41" s="172" t="s">
        <v>47</v>
      </c>
      <c r="L41" s="172" t="s">
        <v>48</v>
      </c>
      <c r="M41" s="172" t="s">
        <v>49</v>
      </c>
      <c r="N41" s="172" t="s">
        <v>23</v>
      </c>
      <c r="O41" s="55" t="s">
        <v>101</v>
      </c>
      <c r="P41" s="5"/>
      <c r="Q41" s="5"/>
      <c r="R41" s="5"/>
    </row>
    <row r="42" spans="1:18" ht="30" customHeight="1" x14ac:dyDescent="0.25">
      <c r="A42" s="173" t="s">
        <v>254</v>
      </c>
      <c r="B42" s="131">
        <f>SUM(Alkukassa_ja_tulot_taulukko_2[Jakso 1],-Kassastamaksu_taulukko_2[[#Totals],[Jakso 1]],Rahoitus_taulukko_2[[#Totals],[Jakso 1]])</f>
        <v>0</v>
      </c>
      <c r="C42" s="131">
        <f>SUM(Alkukassa_ja_tulot_taulukko_2[Jakso 2],-Kassastamaksu_taulukko_2[[#Totals],[Jakso 2]],Rahoitus_taulukko_2[[#Totals],[Jakso 2]])</f>
        <v>0</v>
      </c>
      <c r="D42" s="131">
        <f>SUM(Alkukassa_ja_tulot_taulukko_2[Jakso 3],-Kassastamaksu_taulukko_2[[#Totals],[Jakso 3]],Rahoitus_taulukko_2[[#Totals],[Jakso 3]])</f>
        <v>0</v>
      </c>
      <c r="E42" s="131">
        <f>SUM(Alkukassa_ja_tulot_taulukko_2[Jakso 4],-Kassastamaksu_taulukko_2[[#Totals],[Jakso 4]],Rahoitus_taulukko_2[[#Totals],[Jakso 4]])</f>
        <v>0</v>
      </c>
      <c r="F42" s="131">
        <f>SUM(Alkukassa_ja_tulot_taulukko_2[Jakso 5],-Kassastamaksu_taulukko_2[[#Totals],[Jakso 5]],Rahoitus_taulukko_2[[#Totals],[Jakso 5]])</f>
        <v>0</v>
      </c>
      <c r="G42" s="131">
        <f>SUM(Alkukassa_ja_tulot_taulukko_2[Jakso 6],-Kassastamaksu_taulukko_2[[#Totals],[Jakso 6]],Rahoitus_taulukko_2[[#Totals],[Jakso 6]])</f>
        <v>0</v>
      </c>
      <c r="H42" s="131">
        <f>SUM(Alkukassa_ja_tulot_taulukko_2[Jakso 7],-Kassastamaksu_taulukko_2[[#Totals],[Jakso 7]],Rahoitus_taulukko_2[[#Totals],[Jakso 7]])</f>
        <v>0</v>
      </c>
      <c r="I42" s="131">
        <f>SUM(Alkukassa_ja_tulot_taulukko_2[Jakso 8],-Kassastamaksu_taulukko_2[[#Totals],[Jakso 8]],Rahoitus_taulukko_2[[#Totals],[Jakso 8]])</f>
        <v>0</v>
      </c>
      <c r="J42" s="131">
        <f>SUM(Alkukassa_ja_tulot_taulukko_2[Jakso 9],-Kassastamaksu_taulukko_2[[#Totals],[Jakso 9]],Rahoitus_taulukko_2[[#Totals],[Jakso 9]])</f>
        <v>0</v>
      </c>
      <c r="K42" s="131">
        <f>SUM(Alkukassa_ja_tulot_taulukko_2[Jakso 10],-Kassastamaksu_taulukko_2[[#Totals],[Jakso 10]],Rahoitus_taulukko_2[[#Totals],[Jakso 10]])</f>
        <v>0</v>
      </c>
      <c r="L42" s="131">
        <f>SUM(Alkukassa_ja_tulot_taulukko_2[Jakso 11],-Kassastamaksu_taulukko_2[[#Totals],[Jakso 11]],Rahoitus_taulukko_2[[#Totals],[Jakso 11]])</f>
        <v>0</v>
      </c>
      <c r="M42" s="131">
        <f>SUM(Alkukassa_ja_tulot_taulukko_2[Jakso 12],-Kassastamaksu_taulukko_2[[#Totals],[Jakso 12]],Rahoitus_taulukko_2[[#Totals],[Jakso 12]])</f>
        <v>0</v>
      </c>
      <c r="N42" s="131"/>
      <c r="O42" s="55" t="s">
        <v>101</v>
      </c>
      <c r="P42" s="4"/>
      <c r="Q42" s="4"/>
      <c r="R42" s="4"/>
    </row>
    <row r="43" spans="1:18" ht="30" hidden="1" customHeight="1" x14ac:dyDescent="0.25">
      <c r="A43" s="174" t="s">
        <v>251</v>
      </c>
      <c r="B43" s="167" cm="1">
        <f t="array" ref="B43">SUM(B42,-Alkukassa_taulukko_2[Jakso 1])</f>
        <v>0</v>
      </c>
      <c r="C43" s="167">
        <f>SUM(C42,-B42)</f>
        <v>0</v>
      </c>
      <c r="D43" s="167">
        <f t="shared" ref="D43:M43" si="6">SUM(D42,-C42)</f>
        <v>0</v>
      </c>
      <c r="E43" s="167">
        <f t="shared" si="6"/>
        <v>0</v>
      </c>
      <c r="F43" s="167">
        <f t="shared" si="6"/>
        <v>0</v>
      </c>
      <c r="G43" s="167">
        <f t="shared" si="6"/>
        <v>0</v>
      </c>
      <c r="H43" s="167">
        <f t="shared" si="6"/>
        <v>0</v>
      </c>
      <c r="I43" s="167">
        <f t="shared" si="6"/>
        <v>0</v>
      </c>
      <c r="J43" s="167">
        <f t="shared" si="6"/>
        <v>0</v>
      </c>
      <c r="K43" s="167">
        <f t="shared" si="6"/>
        <v>0</v>
      </c>
      <c r="L43" s="167">
        <f t="shared" si="6"/>
        <v>0</v>
      </c>
      <c r="M43" s="167">
        <f t="shared" si="6"/>
        <v>0</v>
      </c>
      <c r="N43" s="168">
        <f>SUM(Maksuvalmius_taulukko_2[[#This Row],[Jakso 1]:[Jakso 12]])</f>
        <v>0</v>
      </c>
      <c r="O43" s="175" t="s">
        <v>101</v>
      </c>
      <c r="P43" s="5"/>
      <c r="Q43" s="5"/>
      <c r="R43" s="5"/>
    </row>
    <row r="44" spans="1:18" ht="30" customHeight="1" x14ac:dyDescent="0.25">
      <c r="A44" s="176" t="s">
        <v>186</v>
      </c>
      <c r="B44" s="39" t="s">
        <v>64</v>
      </c>
      <c r="C44" s="39" t="s">
        <v>64</v>
      </c>
      <c r="D44" s="39" t="s">
        <v>64</v>
      </c>
      <c r="E44" s="39" t="s">
        <v>64</v>
      </c>
      <c r="F44" s="39" t="s">
        <v>64</v>
      </c>
      <c r="G44" s="39" t="s">
        <v>64</v>
      </c>
      <c r="H44" s="39" t="s">
        <v>64</v>
      </c>
      <c r="I44" s="39" t="s">
        <v>64</v>
      </c>
      <c r="J44" s="39" t="s">
        <v>64</v>
      </c>
      <c r="K44" s="39" t="s">
        <v>64</v>
      </c>
      <c r="L44" s="39" t="s">
        <v>64</v>
      </c>
      <c r="M44" s="39" t="s">
        <v>64</v>
      </c>
      <c r="N44" s="39" t="s">
        <v>64</v>
      </c>
      <c r="O44" s="55" t="s">
        <v>101</v>
      </c>
      <c r="P44" s="5"/>
      <c r="Q44" s="5"/>
      <c r="R44" s="5"/>
    </row>
    <row r="45" spans="1:18" ht="180" customHeight="1" x14ac:dyDescent="0.25">
      <c r="A45" s="178" t="s">
        <v>255</v>
      </c>
      <c r="B45" s="39" t="s">
        <v>64</v>
      </c>
      <c r="C45" s="39" t="s">
        <v>64</v>
      </c>
      <c r="D45" s="39" t="s">
        <v>64</v>
      </c>
      <c r="E45" s="39" t="s">
        <v>64</v>
      </c>
      <c r="F45" s="39" t="s">
        <v>64</v>
      </c>
      <c r="G45" s="39" t="s">
        <v>64</v>
      </c>
      <c r="H45" s="39" t="s">
        <v>64</v>
      </c>
      <c r="I45" s="39" t="s">
        <v>64</v>
      </c>
      <c r="J45" s="39" t="s">
        <v>64</v>
      </c>
      <c r="K45" s="39" t="s">
        <v>64</v>
      </c>
      <c r="L45" s="39" t="s">
        <v>64</v>
      </c>
      <c r="M45" s="39" t="s">
        <v>64</v>
      </c>
      <c r="N45" s="39" t="s">
        <v>64</v>
      </c>
      <c r="O45" s="55" t="s">
        <v>101</v>
      </c>
      <c r="P45" s="4"/>
    </row>
    <row r="46" spans="1:18" ht="18" customHeight="1" x14ac:dyDescent="0.25">
      <c r="A46" s="179" t="s">
        <v>245</v>
      </c>
      <c r="B46" s="39" t="s">
        <v>64</v>
      </c>
      <c r="C46" s="39" t="s">
        <v>64</v>
      </c>
      <c r="D46" s="39" t="s">
        <v>64</v>
      </c>
      <c r="E46" s="39" t="s">
        <v>64</v>
      </c>
      <c r="F46" s="39" t="s">
        <v>64</v>
      </c>
      <c r="G46" s="39" t="s">
        <v>64</v>
      </c>
      <c r="H46" s="39" t="s">
        <v>64</v>
      </c>
      <c r="I46" s="39" t="s">
        <v>64</v>
      </c>
      <c r="J46" s="39" t="s">
        <v>64</v>
      </c>
      <c r="K46" s="39" t="s">
        <v>64</v>
      </c>
      <c r="L46" s="39" t="s">
        <v>64</v>
      </c>
      <c r="M46" s="39" t="s">
        <v>64</v>
      </c>
      <c r="N46" s="39" t="s">
        <v>64</v>
      </c>
      <c r="O46" s="175" t="s">
        <v>101</v>
      </c>
      <c r="P46" s="5"/>
      <c r="Q46" s="5"/>
      <c r="R46" s="5"/>
    </row>
    <row r="47" spans="1:18" ht="3.95" customHeight="1" x14ac:dyDescent="0.25">
      <c r="A47" s="55" t="s">
        <v>100</v>
      </c>
      <c r="B47" s="55" t="s">
        <v>100</v>
      </c>
      <c r="C47" s="55" t="s">
        <v>100</v>
      </c>
      <c r="D47" s="55" t="s">
        <v>100</v>
      </c>
      <c r="E47" s="55" t="s">
        <v>100</v>
      </c>
      <c r="F47" s="55" t="s">
        <v>100</v>
      </c>
      <c r="G47" s="55" t="s">
        <v>100</v>
      </c>
      <c r="H47" s="55" t="s">
        <v>100</v>
      </c>
      <c r="I47" s="55" t="s">
        <v>100</v>
      </c>
      <c r="J47" s="55" t="s">
        <v>100</v>
      </c>
      <c r="K47" s="55" t="s">
        <v>100</v>
      </c>
      <c r="L47" s="55" t="s">
        <v>100</v>
      </c>
      <c r="M47" s="55" t="s">
        <v>100</v>
      </c>
      <c r="N47" s="55" t="s">
        <v>100</v>
      </c>
      <c r="O47" s="175" t="s">
        <v>101</v>
      </c>
    </row>
  </sheetData>
  <sheetProtection sheet="1" objects="1" scenarios="1"/>
  <conditionalFormatting sqref="B9:N9 B17:N17 B42:N43">
    <cfRule type="expression" dxfId="1" priority="2" stopIfTrue="1">
      <formula>B9&lt;0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10" id="{7E3F9C32-9F2C-0A4E-B77C-A99013F9609F}">
            <x14:iconSet iconSet="3Flags" custom="1">
              <x14:cfvo type="percent">
                <xm:f>0</xm:f>
              </x14:cfvo>
              <x14:cfvo type="num">
                <xm:f>0</xm:f>
              </x14:cfvo>
              <x14:cfvo type="num">
                <xm:f>1</xm:f>
              </x14:cfvo>
              <x14:cfIcon iconSet="3Flags" iconId="0"/>
              <x14:cfIcon iconSet="NoIcons" iconId="0"/>
              <x14:cfIcon iconSet="NoIcons" iconId="0"/>
            </x14:iconSet>
          </x14:cfRule>
          <xm:sqref>B17:N17 B9:N9</xm:sqref>
        </x14:conditionalFormatting>
        <x14:conditionalFormatting xmlns:xm="http://schemas.microsoft.com/office/excel/2006/main">
          <x14:cfRule type="iconSet" priority="11" id="{67DF188F-36FA-BD40-BDA1-BAF507DAAEFC}">
            <x14:iconSet iconSet="3Flags" custom="1">
              <x14:cfvo type="percent">
                <xm:f>0</xm:f>
              </x14:cfvo>
              <x14:cfvo type="num" gte="0">
                <xm:f>0</xm:f>
              </x14:cfvo>
              <x14:cfvo type="num" gte="0">
                <xm:f>1</xm:f>
              </x14:cfvo>
              <x14:cfIcon iconSet="3Flags" iconId="0"/>
              <x14:cfIcon iconSet="NoIcons" iconId="0"/>
              <x14:cfIcon iconSet="NoIcons" iconId="0"/>
            </x14:iconSet>
          </x14:cfRule>
          <xm:sqref>B42:N43</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090F4-1F03-3A4C-9B74-6A95E8CBEC26}">
  <dimension ref="A1:NX47"/>
  <sheetViews>
    <sheetView zoomScale="80" zoomScaleNormal="80" workbookViewId="0">
      <selection activeCell="F27" sqref="F27"/>
    </sheetView>
  </sheetViews>
  <sheetFormatPr defaultColWidth="10.875" defaultRowHeight="18" x14ac:dyDescent="0.25"/>
  <cols>
    <col min="1" max="1" width="70.875" style="2" customWidth="1"/>
    <col min="2" max="14" width="23.875" style="2" customWidth="1"/>
    <col min="15" max="15" width="0.625" style="2" customWidth="1"/>
    <col min="16" max="16384" width="10.875" style="2"/>
  </cols>
  <sheetData>
    <row r="1" spans="1:18" ht="60" customHeight="1" x14ac:dyDescent="0.25">
      <c r="A1" s="55" t="s">
        <v>232</v>
      </c>
      <c r="B1" s="39" t="s">
        <v>64</v>
      </c>
      <c r="C1" s="39" t="s">
        <v>64</v>
      </c>
      <c r="D1" s="39" t="s">
        <v>64</v>
      </c>
      <c r="E1" s="39" t="s">
        <v>64</v>
      </c>
      <c r="F1" s="39" t="s">
        <v>64</v>
      </c>
      <c r="G1" s="39" t="s">
        <v>64</v>
      </c>
      <c r="H1" s="39" t="s">
        <v>64</v>
      </c>
      <c r="I1" s="39" t="s">
        <v>64</v>
      </c>
      <c r="J1" s="39" t="s">
        <v>64</v>
      </c>
      <c r="K1" s="39" t="s">
        <v>64</v>
      </c>
      <c r="L1" s="39" t="s">
        <v>64</v>
      </c>
      <c r="M1" s="39" t="s">
        <v>64</v>
      </c>
      <c r="N1" s="39" t="s">
        <v>64</v>
      </c>
      <c r="O1" s="55" t="s">
        <v>101</v>
      </c>
    </row>
    <row r="2" spans="1:18" ht="30" customHeight="1" x14ac:dyDescent="0.25">
      <c r="A2" s="1" t="s">
        <v>25</v>
      </c>
      <c r="B2" s="39" t="s">
        <v>64</v>
      </c>
      <c r="C2" s="39" t="s">
        <v>64</v>
      </c>
      <c r="D2" s="39" t="s">
        <v>64</v>
      </c>
      <c r="E2" s="39" t="s">
        <v>64</v>
      </c>
      <c r="F2" s="39" t="s">
        <v>64</v>
      </c>
      <c r="G2" s="39" t="s">
        <v>64</v>
      </c>
      <c r="H2" s="39" t="s">
        <v>64</v>
      </c>
      <c r="I2" s="39" t="s">
        <v>64</v>
      </c>
      <c r="J2" s="39" t="s">
        <v>64</v>
      </c>
      <c r="K2" s="39" t="s">
        <v>64</v>
      </c>
      <c r="L2" s="39" t="s">
        <v>64</v>
      </c>
      <c r="M2" s="39" t="s">
        <v>64</v>
      </c>
      <c r="N2" s="39" t="s">
        <v>64</v>
      </c>
      <c r="O2" s="55" t="s">
        <v>101</v>
      </c>
      <c r="P2" s="5"/>
      <c r="Q2" s="5"/>
      <c r="R2" s="5"/>
    </row>
    <row r="3" spans="1:18" ht="24.95" customHeight="1" x14ac:dyDescent="0.25">
      <c r="A3" s="2" t="s">
        <v>109</v>
      </c>
      <c r="B3" s="39" t="s">
        <v>64</v>
      </c>
      <c r="C3" s="39" t="s">
        <v>64</v>
      </c>
      <c r="D3" s="39" t="s">
        <v>64</v>
      </c>
      <c r="E3" s="39" t="s">
        <v>64</v>
      </c>
      <c r="F3" s="39" t="s">
        <v>64</v>
      </c>
      <c r="G3" s="39" t="s">
        <v>64</v>
      </c>
      <c r="H3" s="39" t="s">
        <v>64</v>
      </c>
      <c r="I3" s="39" t="s">
        <v>64</v>
      </c>
      <c r="J3" s="39" t="s">
        <v>64</v>
      </c>
      <c r="K3" s="39" t="s">
        <v>64</v>
      </c>
      <c r="L3" s="39" t="s">
        <v>64</v>
      </c>
      <c r="M3" s="39" t="s">
        <v>64</v>
      </c>
      <c r="N3" s="39" t="s">
        <v>64</v>
      </c>
      <c r="O3" s="55" t="s">
        <v>101</v>
      </c>
      <c r="P3" s="5"/>
      <c r="Q3" s="5"/>
      <c r="R3" s="5"/>
    </row>
    <row r="4" spans="1:18" ht="18.75" x14ac:dyDescent="0.25">
      <c r="A4" s="6" t="s">
        <v>222</v>
      </c>
      <c r="B4" s="39" t="s">
        <v>64</v>
      </c>
      <c r="C4" s="39" t="s">
        <v>64</v>
      </c>
      <c r="D4" s="39" t="s">
        <v>64</v>
      </c>
      <c r="E4" s="39" t="s">
        <v>64</v>
      </c>
      <c r="F4" s="39" t="s">
        <v>64</v>
      </c>
      <c r="G4" s="39" t="s">
        <v>64</v>
      </c>
      <c r="H4" s="39" t="s">
        <v>64</v>
      </c>
      <c r="I4" s="39" t="s">
        <v>64</v>
      </c>
      <c r="J4" s="39" t="s">
        <v>64</v>
      </c>
      <c r="K4" s="39" t="s">
        <v>64</v>
      </c>
      <c r="L4" s="39" t="s">
        <v>64</v>
      </c>
      <c r="M4" s="39" t="s">
        <v>64</v>
      </c>
      <c r="N4" s="39" t="s">
        <v>64</v>
      </c>
      <c r="O4" s="55" t="s">
        <v>101</v>
      </c>
      <c r="P4" s="5"/>
      <c r="Q4" s="5"/>
      <c r="R4" s="5"/>
    </row>
    <row r="5" spans="1:18" ht="30" customHeight="1" x14ac:dyDescent="0.25">
      <c r="A5" s="156">
        <v>25.5</v>
      </c>
      <c r="B5" s="39" t="s">
        <v>64</v>
      </c>
      <c r="C5" s="39" t="s">
        <v>64</v>
      </c>
      <c r="D5" s="39" t="s">
        <v>64</v>
      </c>
      <c r="E5" s="39" t="s">
        <v>64</v>
      </c>
      <c r="F5" s="39" t="s">
        <v>64</v>
      </c>
      <c r="G5" s="39" t="s">
        <v>64</v>
      </c>
      <c r="H5" s="39" t="s">
        <v>64</v>
      </c>
      <c r="I5" s="39" t="s">
        <v>64</v>
      </c>
      <c r="J5" s="39" t="s">
        <v>64</v>
      </c>
      <c r="K5" s="39" t="s">
        <v>64</v>
      </c>
      <c r="L5" s="39" t="s">
        <v>64</v>
      </c>
      <c r="M5" s="39" t="s">
        <v>64</v>
      </c>
      <c r="N5" s="39" t="s">
        <v>64</v>
      </c>
      <c r="O5" s="55" t="s">
        <v>101</v>
      </c>
      <c r="P5" s="5"/>
      <c r="Q5" s="5"/>
      <c r="R5" s="5"/>
    </row>
    <row r="6" spans="1:18" ht="18.75" x14ac:dyDescent="0.25">
      <c r="A6" s="6" t="s">
        <v>171</v>
      </c>
      <c r="B6" s="39" t="s">
        <v>64</v>
      </c>
      <c r="C6" s="39" t="s">
        <v>64</v>
      </c>
      <c r="D6" s="39" t="s">
        <v>64</v>
      </c>
      <c r="E6" s="39" t="s">
        <v>64</v>
      </c>
      <c r="F6" s="39" t="s">
        <v>64</v>
      </c>
      <c r="G6" s="39" t="s">
        <v>64</v>
      </c>
      <c r="H6" s="39" t="s">
        <v>64</v>
      </c>
      <c r="I6" s="39" t="s">
        <v>64</v>
      </c>
      <c r="J6" s="39" t="s">
        <v>64</v>
      </c>
      <c r="K6" s="39" t="s">
        <v>64</v>
      </c>
      <c r="L6" s="39" t="s">
        <v>64</v>
      </c>
      <c r="M6" s="39" t="s">
        <v>64</v>
      </c>
      <c r="N6" s="39" t="s">
        <v>64</v>
      </c>
      <c r="O6" s="55" t="s">
        <v>101</v>
      </c>
      <c r="P6" s="5"/>
      <c r="Q6" s="5"/>
      <c r="R6" s="5"/>
    </row>
    <row r="7" spans="1:18" ht="39.950000000000003" customHeight="1" x14ac:dyDescent="0.25">
      <c r="A7" s="208">
        <v>46753</v>
      </c>
      <c r="B7" s="42" t="str">
        <f>UPPER(TEXT(Tilikauden_alku,"[$-040B]kkk"))</f>
        <v>TAMMI</v>
      </c>
      <c r="C7" s="42" t="str">
        <f>UPPER(TEXT(EOMONTH(Tilikauden_alku,1),"[$-040B]kkk"))</f>
        <v>HELMI</v>
      </c>
      <c r="D7" s="42" t="str">
        <f>UPPER(TEXT(EOMONTH(Tilikauden_alku,2),"[$-040B]kkk"))</f>
        <v>MAALIS</v>
      </c>
      <c r="E7" s="42" t="str">
        <f>UPPER(TEXT(EOMONTH(Tilikauden_alku,3),"[$-040B]kkk"))</f>
        <v>HUHTI</v>
      </c>
      <c r="F7" s="42" t="str">
        <f>UPPER(TEXT(EOMONTH(Tilikauden_alku,4),"[$-040B]kkk"))</f>
        <v>TOUKO</v>
      </c>
      <c r="G7" s="42" t="str">
        <f>UPPER(TEXT(EOMONTH(Tilikauden_alku,5),"[$-040B]kkk"))</f>
        <v>KESÄ</v>
      </c>
      <c r="H7" s="42" t="str">
        <f>UPPER(TEXT(EOMONTH(Tilikauden_alku,6),"[$-040B]kkk"))</f>
        <v>HEINÄ</v>
      </c>
      <c r="I7" s="42" t="str">
        <f>UPPER(TEXT(EOMONTH(Tilikauden_alku,7),"[$-040B]kkk"))</f>
        <v>ELO</v>
      </c>
      <c r="J7" s="42" t="str">
        <f>UPPER(TEXT(EOMONTH(Tilikauden_alku,8),"[$-040B]kkk"))</f>
        <v>SYYS</v>
      </c>
      <c r="K7" s="42" t="str">
        <f>UPPER(TEXT(EOMONTH(Tilikauden_alku,9),"[$-040B]kkk"))</f>
        <v>LOKA</v>
      </c>
      <c r="L7" s="42" t="str">
        <f>UPPER(TEXT(EOMONTH(Tilikauden_alku,10),"[$-040B]kkk"))</f>
        <v>MARRAS</v>
      </c>
      <c r="M7" s="42" t="str">
        <f>UPPER(TEXT(EOMONTH(Tilikauden_alku,11),"[$-040B]kkk"))</f>
        <v>JOULU</v>
      </c>
      <c r="N7" s="42" t="s">
        <v>36</v>
      </c>
      <c r="O7" s="55" t="s">
        <v>101</v>
      </c>
      <c r="P7" s="5"/>
      <c r="Q7" s="5"/>
      <c r="R7" s="5"/>
    </row>
    <row r="8" spans="1:18" ht="30" customHeight="1" x14ac:dyDescent="0.25">
      <c r="A8" s="43" t="s">
        <v>52</v>
      </c>
      <c r="B8" s="26" t="s">
        <v>38</v>
      </c>
      <c r="C8" s="26" t="s">
        <v>39</v>
      </c>
      <c r="D8" s="26" t="s">
        <v>41</v>
      </c>
      <c r="E8" s="26" t="s">
        <v>40</v>
      </c>
      <c r="F8" s="26" t="s">
        <v>42</v>
      </c>
      <c r="G8" s="26" t="s">
        <v>43</v>
      </c>
      <c r="H8" s="26" t="s">
        <v>44</v>
      </c>
      <c r="I8" s="26" t="s">
        <v>45</v>
      </c>
      <c r="J8" s="26" t="s">
        <v>46</v>
      </c>
      <c r="K8" s="26" t="s">
        <v>47</v>
      </c>
      <c r="L8" s="26" t="s">
        <v>48</v>
      </c>
      <c r="M8" s="26" t="s">
        <v>49</v>
      </c>
      <c r="N8" s="27" t="s">
        <v>23</v>
      </c>
      <c r="O8" s="55" t="s">
        <v>101</v>
      </c>
      <c r="P8" s="5"/>
      <c r="Q8" s="5"/>
      <c r="R8" s="5"/>
    </row>
    <row r="9" spans="1:18" ht="30" customHeight="1" x14ac:dyDescent="0.25">
      <c r="A9" s="44" t="s">
        <v>51</v>
      </c>
      <c r="B9" s="131">
        <f>Kassavirtalaskelma2v!M42</f>
        <v>0</v>
      </c>
      <c r="C9" s="131">
        <f>B42</f>
        <v>0</v>
      </c>
      <c r="D9" s="131">
        <f t="shared" ref="D9:M9" si="0">C42</f>
        <v>0</v>
      </c>
      <c r="E9" s="131">
        <f t="shared" si="0"/>
        <v>0</v>
      </c>
      <c r="F9" s="131">
        <f t="shared" si="0"/>
        <v>0</v>
      </c>
      <c r="G9" s="131">
        <f t="shared" si="0"/>
        <v>0</v>
      </c>
      <c r="H9" s="131">
        <f t="shared" si="0"/>
        <v>0</v>
      </c>
      <c r="I9" s="131">
        <f t="shared" si="0"/>
        <v>0</v>
      </c>
      <c r="J9" s="131">
        <f t="shared" si="0"/>
        <v>0</v>
      </c>
      <c r="K9" s="131">
        <f t="shared" si="0"/>
        <v>0</v>
      </c>
      <c r="L9" s="131">
        <f t="shared" si="0"/>
        <v>0</v>
      </c>
      <c r="M9" s="131">
        <f t="shared" si="0"/>
        <v>0</v>
      </c>
      <c r="N9" s="131"/>
      <c r="O9" s="55" t="s">
        <v>101</v>
      </c>
      <c r="P9" s="5"/>
      <c r="Q9" s="5"/>
      <c r="R9" s="5"/>
    </row>
    <row r="10" spans="1:18" ht="30" customHeight="1" x14ac:dyDescent="0.25">
      <c r="A10" s="17" t="s">
        <v>230</v>
      </c>
      <c r="B10" s="26" t="s">
        <v>38</v>
      </c>
      <c r="C10" s="26" t="s">
        <v>39</v>
      </c>
      <c r="D10" s="26" t="s">
        <v>41</v>
      </c>
      <c r="E10" s="26" t="s">
        <v>40</v>
      </c>
      <c r="F10" s="26" t="s">
        <v>42</v>
      </c>
      <c r="G10" s="26" t="s">
        <v>43</v>
      </c>
      <c r="H10" s="26" t="s">
        <v>44</v>
      </c>
      <c r="I10" s="26" t="s">
        <v>45</v>
      </c>
      <c r="J10" s="26" t="s">
        <v>46</v>
      </c>
      <c r="K10" s="26" t="s">
        <v>47</v>
      </c>
      <c r="L10" s="26" t="s">
        <v>48</v>
      </c>
      <c r="M10" s="26" t="s">
        <v>49</v>
      </c>
      <c r="N10" s="27" t="s">
        <v>23</v>
      </c>
      <c r="O10" s="55" t="s">
        <v>101</v>
      </c>
      <c r="P10" s="5"/>
      <c r="Q10" s="5"/>
      <c r="R10" s="5"/>
    </row>
    <row r="11" spans="1:18" ht="20.100000000000001" customHeight="1" x14ac:dyDescent="0.25">
      <c r="A11" s="45" t="s">
        <v>27</v>
      </c>
      <c r="B11" s="133"/>
      <c r="C11" s="133"/>
      <c r="D11" s="133"/>
      <c r="E11" s="133"/>
      <c r="F11" s="133"/>
      <c r="G11" s="133"/>
      <c r="H11" s="133"/>
      <c r="I11" s="133"/>
      <c r="J11" s="133"/>
      <c r="K11" s="133"/>
      <c r="L11" s="133"/>
      <c r="M11" s="134"/>
      <c r="N11" s="135">
        <f>SUM(Kassaanmaksu_taulukko_3[[#This Row],[Jakso 1]:[Jakso 12]])</f>
        <v>0</v>
      </c>
      <c r="O11" s="55" t="s">
        <v>101</v>
      </c>
      <c r="P11" s="5"/>
      <c r="Q11" s="5"/>
      <c r="R11" s="5"/>
    </row>
    <row r="12" spans="1:18" ht="20.100000000000001" customHeight="1" x14ac:dyDescent="0.25">
      <c r="A12" s="46" t="s">
        <v>28</v>
      </c>
      <c r="B12" s="137"/>
      <c r="C12" s="137"/>
      <c r="D12" s="137"/>
      <c r="E12" s="137"/>
      <c r="F12" s="137"/>
      <c r="G12" s="137"/>
      <c r="H12" s="137"/>
      <c r="I12" s="137"/>
      <c r="J12" s="137"/>
      <c r="K12" s="137"/>
      <c r="L12" s="137"/>
      <c r="M12" s="138"/>
      <c r="N12" s="139">
        <f>SUM(Kassaanmaksu_taulukko_3[[#This Row],[Jakso 1]:[Jakso 12]])</f>
        <v>0</v>
      </c>
      <c r="O12" s="55" t="s">
        <v>101</v>
      </c>
      <c r="P12" s="5"/>
      <c r="Q12" s="5"/>
      <c r="R12" s="5"/>
    </row>
    <row r="13" spans="1:18" ht="20.100000000000001" customHeight="1" thickBot="1" x14ac:dyDescent="0.3">
      <c r="A13" s="47" t="s">
        <v>29</v>
      </c>
      <c r="B13" s="141"/>
      <c r="C13" s="141"/>
      <c r="D13" s="141"/>
      <c r="E13" s="141"/>
      <c r="F13" s="141"/>
      <c r="G13" s="141"/>
      <c r="H13" s="141"/>
      <c r="I13" s="141"/>
      <c r="J13" s="141"/>
      <c r="K13" s="141"/>
      <c r="L13" s="141"/>
      <c r="M13" s="142"/>
      <c r="N13" s="143">
        <f>SUM(Kassaanmaksu_taulukko_3[[#This Row],[Jakso 1]:[Jakso 12]])</f>
        <v>0</v>
      </c>
      <c r="O13" s="55" t="s">
        <v>101</v>
      </c>
      <c r="P13" s="5"/>
      <c r="Q13" s="5"/>
      <c r="R13" s="5"/>
    </row>
    <row r="14" spans="1:18" ht="30" customHeight="1" x14ac:dyDescent="0.25">
      <c r="A14" s="79" t="s">
        <v>23</v>
      </c>
      <c r="B14" s="144">
        <f t="shared" ref="B14:M14" si="1">SUM(B11:B13)</f>
        <v>0</v>
      </c>
      <c r="C14" s="144">
        <f t="shared" si="1"/>
        <v>0</v>
      </c>
      <c r="D14" s="144">
        <f t="shared" si="1"/>
        <v>0</v>
      </c>
      <c r="E14" s="144">
        <f t="shared" si="1"/>
        <v>0</v>
      </c>
      <c r="F14" s="144">
        <f t="shared" si="1"/>
        <v>0</v>
      </c>
      <c r="G14" s="144">
        <f t="shared" si="1"/>
        <v>0</v>
      </c>
      <c r="H14" s="144">
        <f t="shared" si="1"/>
        <v>0</v>
      </c>
      <c r="I14" s="144">
        <f t="shared" si="1"/>
        <v>0</v>
      </c>
      <c r="J14" s="144">
        <f t="shared" si="1"/>
        <v>0</v>
      </c>
      <c r="K14" s="144">
        <f t="shared" si="1"/>
        <v>0</v>
      </c>
      <c r="L14" s="144">
        <f t="shared" si="1"/>
        <v>0</v>
      </c>
      <c r="M14" s="144">
        <f t="shared" si="1"/>
        <v>0</v>
      </c>
      <c r="N14" s="145">
        <f>SUM(Kassaanmaksu_taulukko_3[[#This Row],[Jakso 1]:[Jakso 12]])</f>
        <v>0</v>
      </c>
      <c r="O14" s="55" t="s">
        <v>101</v>
      </c>
      <c r="P14" s="5"/>
      <c r="Q14" s="5"/>
      <c r="R14" s="5"/>
    </row>
    <row r="15" spans="1:18" ht="30" customHeight="1" x14ac:dyDescent="0.25">
      <c r="A15" s="81" t="s">
        <v>224</v>
      </c>
      <c r="B15" s="146">
        <f t="shared" ref="B15:M15" si="2">B14*(1+(Arvonlisäveroprosentti/100))</f>
        <v>0</v>
      </c>
      <c r="C15" s="146">
        <f t="shared" si="2"/>
        <v>0</v>
      </c>
      <c r="D15" s="146">
        <f t="shared" si="2"/>
        <v>0</v>
      </c>
      <c r="E15" s="146">
        <f t="shared" si="2"/>
        <v>0</v>
      </c>
      <c r="F15" s="146">
        <f t="shared" si="2"/>
        <v>0</v>
      </c>
      <c r="G15" s="146">
        <f t="shared" si="2"/>
        <v>0</v>
      </c>
      <c r="H15" s="146">
        <f t="shared" si="2"/>
        <v>0</v>
      </c>
      <c r="I15" s="146">
        <f t="shared" si="2"/>
        <v>0</v>
      </c>
      <c r="J15" s="146">
        <f t="shared" si="2"/>
        <v>0</v>
      </c>
      <c r="K15" s="146">
        <f t="shared" si="2"/>
        <v>0</v>
      </c>
      <c r="L15" s="146">
        <f t="shared" si="2"/>
        <v>0</v>
      </c>
      <c r="M15" s="146">
        <f t="shared" si="2"/>
        <v>0</v>
      </c>
      <c r="N15" s="146">
        <f>SUM(Kassaanmaksu_taulukko_3[[#This Row],[Jakso 1]:[Jakso 12]])</f>
        <v>0</v>
      </c>
      <c r="O15" s="55" t="s">
        <v>101</v>
      </c>
      <c r="P15" s="5"/>
      <c r="Q15" s="5"/>
      <c r="R15" s="5"/>
    </row>
    <row r="16" spans="1:18" ht="30" customHeight="1" x14ac:dyDescent="0.25">
      <c r="A16" s="48" t="s">
        <v>53</v>
      </c>
      <c r="B16" s="26" t="s">
        <v>38</v>
      </c>
      <c r="C16" s="26" t="s">
        <v>39</v>
      </c>
      <c r="D16" s="26" t="s">
        <v>41</v>
      </c>
      <c r="E16" s="26" t="s">
        <v>40</v>
      </c>
      <c r="F16" s="26" t="s">
        <v>42</v>
      </c>
      <c r="G16" s="26" t="s">
        <v>43</v>
      </c>
      <c r="H16" s="26" t="s">
        <v>44</v>
      </c>
      <c r="I16" s="26" t="s">
        <v>45</v>
      </c>
      <c r="J16" s="26" t="s">
        <v>46</v>
      </c>
      <c r="K16" s="26" t="s">
        <v>47</v>
      </c>
      <c r="L16" s="26" t="s">
        <v>48</v>
      </c>
      <c r="M16" s="26" t="s">
        <v>49</v>
      </c>
      <c r="N16" s="27" t="s">
        <v>23</v>
      </c>
      <c r="O16" s="55" t="s">
        <v>101</v>
      </c>
      <c r="P16" s="5"/>
      <c r="Q16" s="5"/>
      <c r="R16" s="5"/>
    </row>
    <row r="17" spans="1:388" ht="30" customHeight="1" x14ac:dyDescent="0.25">
      <c r="A17" s="44" t="s">
        <v>50</v>
      </c>
      <c r="B17" s="131">
        <f>SUM(Alkukassa_taulukko_3[Jakso 1],B15)</f>
        <v>0</v>
      </c>
      <c r="C17" s="131">
        <f>SUM(Alkukassa_taulukko_3[Jakso 2],C15)</f>
        <v>0</v>
      </c>
      <c r="D17" s="131">
        <f>SUM(Alkukassa_taulukko_3[Jakso 3],D15)</f>
        <v>0</v>
      </c>
      <c r="E17" s="131">
        <f>SUM(Alkukassa_taulukko_3[Jakso 4],E15)</f>
        <v>0</v>
      </c>
      <c r="F17" s="131">
        <f>SUM(Alkukassa_taulukko_3[Jakso 5],F15)</f>
        <v>0</v>
      </c>
      <c r="G17" s="131">
        <f>SUM(Alkukassa_taulukko_3[Jakso 6],G15)</f>
        <v>0</v>
      </c>
      <c r="H17" s="131">
        <f>SUM(Alkukassa_taulukko_3[Jakso 7],H15)</f>
        <v>0</v>
      </c>
      <c r="I17" s="131">
        <f>SUM(Alkukassa_taulukko_3[Jakso 8],I15)</f>
        <v>0</v>
      </c>
      <c r="J17" s="131">
        <f>SUM(Alkukassa_taulukko_3[Jakso 9],J15)</f>
        <v>0</v>
      </c>
      <c r="K17" s="131">
        <f>SUM(Alkukassa_taulukko_3[Jakso 10],K15)</f>
        <v>0</v>
      </c>
      <c r="L17" s="131">
        <f>SUM(Alkukassa_taulukko_3[Jakso 11],L15)</f>
        <v>0</v>
      </c>
      <c r="M17" s="131">
        <f>SUM(Alkukassa_taulukko_3[Jakso 12],M15)</f>
        <v>0</v>
      </c>
      <c r="N17" s="131"/>
      <c r="O17" s="55" t="s">
        <v>101</v>
      </c>
      <c r="P17" s="5"/>
      <c r="Q17" s="5"/>
      <c r="R17" s="5"/>
    </row>
    <row r="18" spans="1:388" ht="30" customHeight="1" x14ac:dyDescent="0.25">
      <c r="A18" s="48" t="s">
        <v>225</v>
      </c>
      <c r="B18" s="26" t="s">
        <v>38</v>
      </c>
      <c r="C18" s="26" t="s">
        <v>39</v>
      </c>
      <c r="D18" s="26" t="s">
        <v>41</v>
      </c>
      <c r="E18" s="26" t="s">
        <v>40</v>
      </c>
      <c r="F18" s="26" t="s">
        <v>42</v>
      </c>
      <c r="G18" s="26" t="s">
        <v>43</v>
      </c>
      <c r="H18" s="26" t="s">
        <v>44</v>
      </c>
      <c r="I18" s="26" t="s">
        <v>45</v>
      </c>
      <c r="J18" s="26" t="s">
        <v>46</v>
      </c>
      <c r="K18" s="26" t="s">
        <v>47</v>
      </c>
      <c r="L18" s="26" t="s">
        <v>48</v>
      </c>
      <c r="M18" s="26" t="s">
        <v>49</v>
      </c>
      <c r="N18" s="27" t="s">
        <v>23</v>
      </c>
      <c r="O18" s="55" t="s">
        <v>101</v>
      </c>
      <c r="P18" s="5"/>
      <c r="Q18" s="5"/>
      <c r="R18" s="5"/>
    </row>
    <row r="19" spans="1:388" ht="20.100000000000001" customHeight="1" thickBot="1" x14ac:dyDescent="0.3">
      <c r="A19" s="83" t="s">
        <v>229</v>
      </c>
      <c r="B19" s="166"/>
      <c r="C19" s="166"/>
      <c r="D19" s="166"/>
      <c r="E19" s="166"/>
      <c r="F19" s="166"/>
      <c r="G19" s="166"/>
      <c r="H19" s="166"/>
      <c r="I19" s="166"/>
      <c r="J19" s="166"/>
      <c r="K19" s="166"/>
      <c r="L19" s="166"/>
      <c r="M19" s="166"/>
      <c r="N19" s="103">
        <f>SUM(Kassastamaksu_alv_taulukko_3[[#This Row],[Jakso 1]:[Jakso 12]])</f>
        <v>0</v>
      </c>
      <c r="O19" s="55" t="s">
        <v>101</v>
      </c>
      <c r="P19" s="5"/>
      <c r="Q19" s="5"/>
      <c r="R19" s="5"/>
    </row>
    <row r="20" spans="1:388" ht="30" customHeight="1" x14ac:dyDescent="0.25">
      <c r="A20" s="80" t="s">
        <v>223</v>
      </c>
      <c r="B20" s="147">
        <f t="shared" ref="B20:L20" si="3">B19*(1+(Arvonlisäveroprosentti/100))</f>
        <v>0</v>
      </c>
      <c r="C20" s="147">
        <f t="shared" si="3"/>
        <v>0</v>
      </c>
      <c r="D20" s="147">
        <f t="shared" si="3"/>
        <v>0</v>
      </c>
      <c r="E20" s="147">
        <f t="shared" si="3"/>
        <v>0</v>
      </c>
      <c r="F20" s="147">
        <f t="shared" si="3"/>
        <v>0</v>
      </c>
      <c r="G20" s="147">
        <f t="shared" si="3"/>
        <v>0</v>
      </c>
      <c r="H20" s="147">
        <f t="shared" si="3"/>
        <v>0</v>
      </c>
      <c r="I20" s="147">
        <f t="shared" si="3"/>
        <v>0</v>
      </c>
      <c r="J20" s="147">
        <f t="shared" si="3"/>
        <v>0</v>
      </c>
      <c r="K20" s="147">
        <f t="shared" si="3"/>
        <v>0</v>
      </c>
      <c r="L20" s="147">
        <f t="shared" si="3"/>
        <v>0</v>
      </c>
      <c r="M20" s="147">
        <f>M19*(1+(Arvonlisäveroprosentti/100))</f>
        <v>0</v>
      </c>
      <c r="N20" s="147">
        <f>SUM(Kassastamaksu_alv_taulukko_3[[#This Row],[Jakso 1]:[Jakso 12]])</f>
        <v>0</v>
      </c>
      <c r="O20" s="55" t="s">
        <v>101</v>
      </c>
      <c r="P20" s="5"/>
      <c r="Q20" s="5"/>
      <c r="R20" s="5"/>
    </row>
    <row r="21" spans="1:388" ht="30" customHeight="1" x14ac:dyDescent="0.25">
      <c r="A21" s="81" t="s">
        <v>228</v>
      </c>
      <c r="B21" s="148">
        <f>(Kassavirtalaskelma2v!L15-Kassavirtalaskelma2v!L14)-(Kassavirtalaskelma2v!L20-Kassavirtalaskelma2v!L19)</f>
        <v>0</v>
      </c>
      <c r="C21" s="148">
        <f>(Kassavirtalaskelma2v!M15-Kassavirtalaskelma2v!M14)-(Kassavirtalaskelma2v!M20-Kassavirtalaskelma2v!M19)</f>
        <v>0</v>
      </c>
      <c r="D21" s="148">
        <f t="shared" ref="D21:L21" si="4">(B15-B14)-(B20-B19)</f>
        <v>0</v>
      </c>
      <c r="E21" s="148">
        <f t="shared" si="4"/>
        <v>0</v>
      </c>
      <c r="F21" s="148">
        <f t="shared" si="4"/>
        <v>0</v>
      </c>
      <c r="G21" s="148">
        <f t="shared" si="4"/>
        <v>0</v>
      </c>
      <c r="H21" s="148">
        <f t="shared" si="4"/>
        <v>0</v>
      </c>
      <c r="I21" s="148">
        <f t="shared" si="4"/>
        <v>0</v>
      </c>
      <c r="J21" s="148">
        <f t="shared" si="4"/>
        <v>0</v>
      </c>
      <c r="K21" s="148">
        <f t="shared" si="4"/>
        <v>0</v>
      </c>
      <c r="L21" s="148">
        <f t="shared" si="4"/>
        <v>0</v>
      </c>
      <c r="M21" s="148">
        <f>(K15-K14)-(K20-K19)</f>
        <v>0</v>
      </c>
      <c r="N21" s="148">
        <f>SUM(Kassastamaksu_alv_taulukko_3[[#This Row],[Jakso 1]:[Jakso 12]])</f>
        <v>0</v>
      </c>
      <c r="O21" s="55" t="s">
        <v>101</v>
      </c>
      <c r="P21" s="5"/>
      <c r="Q21" s="5"/>
      <c r="R21" s="5"/>
    </row>
    <row r="22" spans="1:388" ht="30" customHeight="1" x14ac:dyDescent="0.25">
      <c r="A22" s="17" t="s">
        <v>30</v>
      </c>
      <c r="B22" s="26" t="s">
        <v>38</v>
      </c>
      <c r="C22" s="26" t="s">
        <v>39</v>
      </c>
      <c r="D22" s="26" t="s">
        <v>41</v>
      </c>
      <c r="E22" s="26" t="s">
        <v>40</v>
      </c>
      <c r="F22" s="26" t="s">
        <v>42</v>
      </c>
      <c r="G22" s="26" t="s">
        <v>43</v>
      </c>
      <c r="H22" s="26" t="s">
        <v>44</v>
      </c>
      <c r="I22" s="26" t="s">
        <v>45</v>
      </c>
      <c r="J22" s="26" t="s">
        <v>46</v>
      </c>
      <c r="K22" s="26" t="s">
        <v>47</v>
      </c>
      <c r="L22" s="26" t="s">
        <v>48</v>
      </c>
      <c r="M22" s="26" t="s">
        <v>49</v>
      </c>
      <c r="N22" s="27" t="s">
        <v>23</v>
      </c>
      <c r="O22" s="55" t="s">
        <v>101</v>
      </c>
      <c r="P22" s="5"/>
      <c r="Q22" s="5"/>
      <c r="R22" s="5"/>
    </row>
    <row r="23" spans="1:388" ht="20.100000000000001" customHeight="1" x14ac:dyDescent="0.25">
      <c r="A23" s="18" t="s">
        <v>115</v>
      </c>
      <c r="B23" s="94"/>
      <c r="C23" s="94"/>
      <c r="D23" s="94"/>
      <c r="E23" s="94"/>
      <c r="F23" s="94"/>
      <c r="G23" s="94"/>
      <c r="H23" s="94"/>
      <c r="I23" s="94"/>
      <c r="J23" s="94"/>
      <c r="K23" s="94"/>
      <c r="L23" s="94"/>
      <c r="M23" s="94"/>
      <c r="N23" s="149">
        <f>SUM(Kassastamaksu_taulukko_3[[#This Row],[Jakso 1]:[Jakso 12]])</f>
        <v>0</v>
      </c>
      <c r="O23" s="55" t="s">
        <v>101</v>
      </c>
      <c r="P23" s="5"/>
      <c r="Q23" s="5"/>
      <c r="R23" s="5"/>
    </row>
    <row r="24" spans="1:388" ht="20.100000000000001" customHeight="1" x14ac:dyDescent="0.25">
      <c r="A24" s="18" t="s">
        <v>116</v>
      </c>
      <c r="B24" s="94"/>
      <c r="C24" s="94"/>
      <c r="D24" s="94"/>
      <c r="E24" s="94"/>
      <c r="F24" s="94"/>
      <c r="G24" s="94"/>
      <c r="H24" s="94"/>
      <c r="I24" s="94"/>
      <c r="J24" s="94"/>
      <c r="K24" s="94"/>
      <c r="L24" s="94"/>
      <c r="M24" s="94"/>
      <c r="N24" s="149">
        <f>SUM(Kassastamaksu_taulukko_3[[#This Row],[Jakso 1]:[Jakso 12]])</f>
        <v>0</v>
      </c>
      <c r="O24" s="55" t="s">
        <v>101</v>
      </c>
      <c r="P24" s="77"/>
      <c r="Q24" s="77"/>
      <c r="R24" s="77"/>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8"/>
      <c r="GF24" s="78"/>
      <c r="GG24" s="78"/>
      <c r="GH24" s="78"/>
      <c r="GI24" s="78"/>
      <c r="GJ24" s="78"/>
      <c r="GK24" s="78"/>
      <c r="GL24" s="78"/>
      <c r="GM24" s="78"/>
      <c r="GN24" s="78"/>
      <c r="GO24" s="78"/>
      <c r="GP24" s="78"/>
      <c r="GQ24" s="78"/>
      <c r="GR24" s="78"/>
      <c r="GS24" s="78"/>
      <c r="GT24" s="78"/>
      <c r="GU24" s="78"/>
      <c r="GV24" s="78"/>
      <c r="GW24" s="78"/>
      <c r="GX24" s="78"/>
      <c r="GY24" s="78"/>
      <c r="GZ24" s="78"/>
      <c r="HA24" s="78"/>
      <c r="HB24" s="78"/>
      <c r="HC24" s="78"/>
      <c r="HD24" s="78"/>
      <c r="HE24" s="78"/>
      <c r="HF24" s="78"/>
      <c r="HG24" s="78"/>
      <c r="HH24" s="78"/>
      <c r="HI24" s="78"/>
      <c r="HJ24" s="78"/>
      <c r="HK24" s="78"/>
      <c r="HL24" s="78"/>
      <c r="HM24" s="78"/>
      <c r="HN24" s="78"/>
      <c r="HO24" s="78"/>
      <c r="HP24" s="78"/>
      <c r="HQ24" s="78"/>
      <c r="HR24" s="78"/>
      <c r="HS24" s="78"/>
      <c r="HT24" s="78"/>
      <c r="HU24" s="78"/>
      <c r="HV24" s="78"/>
      <c r="HW24" s="78"/>
      <c r="HX24" s="78"/>
      <c r="HY24" s="78"/>
      <c r="HZ24" s="78"/>
      <c r="IA24" s="78"/>
      <c r="IB24" s="78"/>
      <c r="IC24" s="78"/>
      <c r="ID24" s="78"/>
      <c r="IE24" s="78"/>
      <c r="IF24" s="78"/>
      <c r="IG24" s="78"/>
      <c r="IH24" s="78"/>
      <c r="II24" s="78"/>
      <c r="IJ24" s="78"/>
      <c r="IK24" s="78"/>
      <c r="IL24" s="78"/>
      <c r="IM24" s="78"/>
      <c r="IN24" s="78"/>
      <c r="IO24" s="78"/>
      <c r="IP24" s="78"/>
      <c r="IQ24" s="78"/>
      <c r="IR24" s="78"/>
      <c r="IS24" s="78"/>
      <c r="IT24" s="78"/>
      <c r="IU24" s="78"/>
      <c r="IV24" s="78"/>
      <c r="IW24" s="78"/>
      <c r="IX24" s="78"/>
      <c r="IY24" s="78"/>
      <c r="IZ24" s="78"/>
      <c r="JA24" s="78"/>
      <c r="JB24" s="78"/>
      <c r="JC24" s="78"/>
      <c r="JD24" s="78"/>
      <c r="JE24" s="78"/>
      <c r="JF24" s="78"/>
      <c r="JG24" s="78"/>
      <c r="JH24" s="78"/>
      <c r="JI24" s="78"/>
      <c r="JJ24" s="78"/>
      <c r="JK24" s="78"/>
      <c r="JL24" s="78"/>
      <c r="JM24" s="78"/>
      <c r="JN24" s="78"/>
      <c r="JO24" s="78"/>
      <c r="JP24" s="78"/>
      <c r="JQ24" s="78"/>
      <c r="JR24" s="78"/>
      <c r="JS24" s="78"/>
      <c r="JT24" s="78"/>
      <c r="JU24" s="78"/>
      <c r="JV24" s="78"/>
      <c r="JW24" s="78"/>
      <c r="JX24" s="78"/>
      <c r="JY24" s="78"/>
      <c r="JZ24" s="78"/>
      <c r="KA24" s="78"/>
      <c r="KB24" s="78"/>
      <c r="KC24" s="78"/>
      <c r="KD24" s="78"/>
      <c r="KE24" s="78"/>
      <c r="KF24" s="78"/>
      <c r="KG24" s="78"/>
      <c r="KH24" s="78"/>
      <c r="KI24" s="78"/>
      <c r="KJ24" s="78"/>
      <c r="KK24" s="78"/>
      <c r="KL24" s="78"/>
      <c r="KM24" s="78"/>
      <c r="KN24" s="78"/>
      <c r="KO24" s="78"/>
      <c r="KP24" s="78"/>
      <c r="KQ24" s="78"/>
      <c r="KR24" s="78"/>
      <c r="KS24" s="78"/>
      <c r="KT24" s="78"/>
      <c r="KU24" s="78"/>
      <c r="KV24" s="78"/>
      <c r="KW24" s="78"/>
      <c r="KX24" s="78"/>
      <c r="KY24" s="78"/>
      <c r="KZ24" s="78"/>
      <c r="LA24" s="78"/>
      <c r="LB24" s="78"/>
      <c r="LC24" s="78"/>
      <c r="LD24" s="78"/>
      <c r="LE24" s="78"/>
      <c r="LF24" s="78"/>
      <c r="LG24" s="78"/>
      <c r="LH24" s="78"/>
      <c r="LI24" s="78"/>
      <c r="LJ24" s="78"/>
      <c r="LK24" s="78"/>
      <c r="LL24" s="78"/>
      <c r="LM24" s="78"/>
      <c r="LN24" s="78"/>
      <c r="LO24" s="78"/>
      <c r="LP24" s="78"/>
      <c r="LQ24" s="78"/>
      <c r="LR24" s="78"/>
      <c r="LS24" s="78"/>
      <c r="LT24" s="78"/>
      <c r="LU24" s="78"/>
      <c r="LV24" s="78"/>
      <c r="LW24" s="78"/>
      <c r="LX24" s="78"/>
      <c r="LY24" s="78"/>
      <c r="LZ24" s="78"/>
      <c r="MA24" s="78"/>
      <c r="MB24" s="78"/>
      <c r="MC24" s="78"/>
      <c r="MD24" s="78"/>
      <c r="ME24" s="78"/>
      <c r="MF24" s="78"/>
      <c r="MG24" s="78"/>
      <c r="MH24" s="78"/>
      <c r="MI24" s="78"/>
      <c r="MJ24" s="78"/>
      <c r="MK24" s="78"/>
      <c r="ML24" s="78"/>
      <c r="MM24" s="78"/>
      <c r="MN24" s="78"/>
      <c r="MO24" s="78"/>
      <c r="MP24" s="78"/>
      <c r="MQ24" s="78"/>
      <c r="MR24" s="78"/>
      <c r="MS24" s="78"/>
      <c r="MT24" s="78"/>
      <c r="MU24" s="78"/>
      <c r="MV24" s="78"/>
      <c r="MW24" s="78"/>
      <c r="MX24" s="78"/>
      <c r="MY24" s="78"/>
      <c r="MZ24" s="78"/>
      <c r="NA24" s="78"/>
      <c r="NB24" s="78"/>
      <c r="NC24" s="78"/>
      <c r="ND24" s="78"/>
      <c r="NE24" s="78"/>
      <c r="NF24" s="78"/>
      <c r="NG24" s="78"/>
      <c r="NH24" s="78"/>
      <c r="NI24" s="78"/>
      <c r="NJ24" s="78"/>
      <c r="NK24" s="78"/>
      <c r="NL24" s="78"/>
      <c r="NM24" s="78"/>
      <c r="NN24" s="78"/>
      <c r="NO24" s="78"/>
      <c r="NP24" s="78"/>
      <c r="NQ24" s="78"/>
      <c r="NR24" s="78"/>
      <c r="NS24" s="78"/>
      <c r="NT24" s="78"/>
      <c r="NU24" s="78"/>
      <c r="NV24" s="78"/>
      <c r="NW24" s="78"/>
      <c r="NX24" s="78"/>
    </row>
    <row r="25" spans="1:388" ht="20.100000000000001" customHeight="1" x14ac:dyDescent="0.25">
      <c r="A25" s="40" t="s">
        <v>188</v>
      </c>
      <c r="B25" s="150"/>
      <c r="C25" s="150"/>
      <c r="D25" s="150"/>
      <c r="E25" s="150"/>
      <c r="F25" s="150"/>
      <c r="G25" s="150"/>
      <c r="H25" s="150"/>
      <c r="I25" s="150"/>
      <c r="J25" s="150"/>
      <c r="K25" s="150"/>
      <c r="L25" s="150"/>
      <c r="M25" s="150"/>
      <c r="N25" s="151">
        <f>SUM(Kassastamaksu_taulukko_3[[#This Row],[Jakso 1]:[Jakso 12]])</f>
        <v>0</v>
      </c>
      <c r="O25" s="55" t="s">
        <v>101</v>
      </c>
      <c r="P25" s="77"/>
      <c r="Q25" s="77"/>
      <c r="R25" s="77"/>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c r="GV25" s="78"/>
      <c r="GW25" s="78"/>
      <c r="GX25" s="78"/>
      <c r="GY25" s="78"/>
      <c r="GZ25" s="78"/>
      <c r="HA25" s="78"/>
      <c r="HB25" s="78"/>
      <c r="HC25" s="78"/>
      <c r="HD25" s="78"/>
      <c r="HE25" s="78"/>
      <c r="HF25" s="78"/>
      <c r="HG25" s="78"/>
      <c r="HH25" s="78"/>
      <c r="HI25" s="78"/>
      <c r="HJ25" s="78"/>
      <c r="HK25" s="78"/>
      <c r="HL25" s="78"/>
      <c r="HM25" s="78"/>
      <c r="HN25" s="78"/>
      <c r="HO25" s="78"/>
      <c r="HP25" s="78"/>
      <c r="HQ25" s="78"/>
      <c r="HR25" s="78"/>
      <c r="HS25" s="78"/>
      <c r="HT25" s="78"/>
      <c r="HU25" s="78"/>
      <c r="HV25" s="78"/>
      <c r="HW25" s="78"/>
      <c r="HX25" s="78"/>
      <c r="HY25" s="78"/>
      <c r="HZ25" s="78"/>
      <c r="IA25" s="78"/>
      <c r="IB25" s="78"/>
      <c r="IC25" s="78"/>
      <c r="ID25" s="78"/>
      <c r="IE25" s="78"/>
      <c r="IF25" s="78"/>
      <c r="IG25" s="78"/>
      <c r="IH25" s="78"/>
      <c r="II25" s="78"/>
      <c r="IJ25" s="78"/>
      <c r="IK25" s="78"/>
      <c r="IL25" s="78"/>
      <c r="IM25" s="78"/>
      <c r="IN25" s="78"/>
      <c r="IO25" s="78"/>
      <c r="IP25" s="78"/>
      <c r="IQ25" s="78"/>
      <c r="IR25" s="78"/>
      <c r="IS25" s="78"/>
      <c r="IT25" s="78"/>
      <c r="IU25" s="78"/>
      <c r="IV25" s="78"/>
      <c r="IW25" s="78"/>
      <c r="IX25" s="78"/>
      <c r="IY25" s="78"/>
      <c r="IZ25" s="78"/>
      <c r="JA25" s="78"/>
      <c r="JB25" s="78"/>
      <c r="JC25" s="78"/>
      <c r="JD25" s="78"/>
      <c r="JE25" s="78"/>
      <c r="JF25" s="78"/>
      <c r="JG25" s="78"/>
      <c r="JH25" s="78"/>
      <c r="JI25" s="78"/>
      <c r="JJ25" s="78"/>
      <c r="JK25" s="78"/>
      <c r="JL25" s="78"/>
      <c r="JM25" s="78"/>
      <c r="JN25" s="78"/>
      <c r="JO25" s="78"/>
      <c r="JP25" s="78"/>
      <c r="JQ25" s="78"/>
      <c r="JR25" s="78"/>
      <c r="JS25" s="78"/>
      <c r="JT25" s="78"/>
      <c r="JU25" s="78"/>
      <c r="JV25" s="78"/>
      <c r="JW25" s="78"/>
      <c r="JX25" s="78"/>
      <c r="JY25" s="78"/>
      <c r="JZ25" s="78"/>
      <c r="KA25" s="78"/>
      <c r="KB25" s="78"/>
      <c r="KC25" s="78"/>
      <c r="KD25" s="78"/>
      <c r="KE25" s="78"/>
      <c r="KF25" s="78"/>
      <c r="KG25" s="78"/>
      <c r="KH25" s="78"/>
      <c r="KI25" s="78"/>
      <c r="KJ25" s="78"/>
      <c r="KK25" s="78"/>
      <c r="KL25" s="78"/>
      <c r="KM25" s="78"/>
      <c r="KN25" s="78"/>
      <c r="KO25" s="78"/>
      <c r="KP25" s="78"/>
      <c r="KQ25" s="78"/>
      <c r="KR25" s="78"/>
      <c r="KS25" s="78"/>
      <c r="KT25" s="78"/>
      <c r="KU25" s="78"/>
      <c r="KV25" s="78"/>
      <c r="KW25" s="78"/>
      <c r="KX25" s="78"/>
      <c r="KY25" s="78"/>
      <c r="KZ25" s="78"/>
      <c r="LA25" s="78"/>
      <c r="LB25" s="78"/>
      <c r="LC25" s="78"/>
      <c r="LD25" s="78"/>
      <c r="LE25" s="78"/>
      <c r="LF25" s="78"/>
      <c r="LG25" s="78"/>
      <c r="LH25" s="78"/>
      <c r="LI25" s="78"/>
      <c r="LJ25" s="78"/>
      <c r="LK25" s="78"/>
      <c r="LL25" s="78"/>
      <c r="LM25" s="78"/>
      <c r="LN25" s="78"/>
      <c r="LO25" s="78"/>
      <c r="LP25" s="78"/>
      <c r="LQ25" s="78"/>
      <c r="LR25" s="78"/>
      <c r="LS25" s="78"/>
      <c r="LT25" s="78"/>
      <c r="LU25" s="78"/>
      <c r="LV25" s="78"/>
      <c r="LW25" s="78"/>
      <c r="LX25" s="78"/>
      <c r="LY25" s="78"/>
      <c r="LZ25" s="78"/>
      <c r="MA25" s="78"/>
      <c r="MB25" s="78"/>
      <c r="MC25" s="78"/>
      <c r="MD25" s="78"/>
      <c r="ME25" s="78"/>
      <c r="MF25" s="78"/>
      <c r="MG25" s="78"/>
      <c r="MH25" s="78"/>
      <c r="MI25" s="78"/>
      <c r="MJ25" s="78"/>
      <c r="MK25" s="78"/>
      <c r="ML25" s="78"/>
      <c r="MM25" s="78"/>
      <c r="MN25" s="78"/>
      <c r="MO25" s="78"/>
      <c r="MP25" s="78"/>
      <c r="MQ25" s="78"/>
      <c r="MR25" s="78"/>
      <c r="MS25" s="78"/>
      <c r="MT25" s="78"/>
      <c r="MU25" s="78"/>
      <c r="MV25" s="78"/>
      <c r="MW25" s="78"/>
      <c r="MX25" s="78"/>
      <c r="MY25" s="78"/>
      <c r="MZ25" s="78"/>
      <c r="NA25" s="78"/>
      <c r="NB25" s="78"/>
      <c r="NC25" s="78"/>
      <c r="ND25" s="78"/>
      <c r="NE25" s="78"/>
      <c r="NF25" s="78"/>
      <c r="NG25" s="78"/>
      <c r="NH25" s="78"/>
      <c r="NI25" s="78"/>
      <c r="NJ25" s="78"/>
      <c r="NK25" s="78"/>
      <c r="NL25" s="78"/>
      <c r="NM25" s="78"/>
      <c r="NN25" s="78"/>
      <c r="NO25" s="78"/>
      <c r="NP25" s="78"/>
      <c r="NQ25" s="78"/>
      <c r="NR25" s="78"/>
      <c r="NS25" s="78"/>
      <c r="NT25" s="78"/>
      <c r="NU25" s="78"/>
      <c r="NV25" s="78"/>
      <c r="NW25" s="78"/>
      <c r="NX25" s="78"/>
    </row>
    <row r="26" spans="1:388" ht="20.100000000000001" customHeight="1" x14ac:dyDescent="0.25">
      <c r="A26" s="41" t="s">
        <v>187</v>
      </c>
      <c r="B26" s="152"/>
      <c r="C26" s="152"/>
      <c r="D26" s="152"/>
      <c r="E26" s="152"/>
      <c r="F26" s="152"/>
      <c r="G26" s="152"/>
      <c r="H26" s="152"/>
      <c r="I26" s="152"/>
      <c r="J26" s="152"/>
      <c r="K26" s="152"/>
      <c r="L26" s="152"/>
      <c r="M26" s="152"/>
      <c r="N26" s="153">
        <f>SUM(Kassastamaksu_taulukko_3[[#This Row],[Jakso 1]:[Jakso 12]])</f>
        <v>0</v>
      </c>
      <c r="O26" s="55" t="s">
        <v>101</v>
      </c>
      <c r="P26" s="5"/>
      <c r="Q26" s="5"/>
      <c r="R26" s="5"/>
    </row>
    <row r="27" spans="1:388" ht="20.100000000000001" customHeight="1" x14ac:dyDescent="0.25">
      <c r="A27" s="18" t="s">
        <v>11</v>
      </c>
      <c r="B27" s="94"/>
      <c r="C27" s="94"/>
      <c r="D27" s="94"/>
      <c r="E27" s="94"/>
      <c r="F27" s="94"/>
      <c r="G27" s="94"/>
      <c r="H27" s="94"/>
      <c r="I27" s="94"/>
      <c r="J27" s="94"/>
      <c r="K27" s="94"/>
      <c r="L27" s="94"/>
      <c r="M27" s="94"/>
      <c r="N27" s="149">
        <f>SUM(Kassastamaksu_taulukko_3[[#This Row],[Jakso 1]:[Jakso 12]])</f>
        <v>0</v>
      </c>
      <c r="O27" s="55" t="s">
        <v>101</v>
      </c>
      <c r="P27" s="5"/>
      <c r="Q27" s="5"/>
      <c r="R27" s="5"/>
    </row>
    <row r="28" spans="1:388" ht="20.100000000000001" customHeight="1" x14ac:dyDescent="0.25">
      <c r="A28" s="40" t="s">
        <v>117</v>
      </c>
      <c r="B28" s="150"/>
      <c r="C28" s="150"/>
      <c r="D28" s="150"/>
      <c r="E28" s="150"/>
      <c r="F28" s="150"/>
      <c r="G28" s="150"/>
      <c r="H28" s="150"/>
      <c r="I28" s="150"/>
      <c r="J28" s="150"/>
      <c r="K28" s="150"/>
      <c r="L28" s="150"/>
      <c r="M28" s="150"/>
      <c r="N28" s="151">
        <f>SUM(Kassastamaksu_taulukko_3[[#This Row],[Jakso 1]:[Jakso 12]])</f>
        <v>0</v>
      </c>
      <c r="O28" s="55" t="s">
        <v>101</v>
      </c>
      <c r="P28" s="5"/>
      <c r="Q28" s="5"/>
      <c r="R28" s="5"/>
    </row>
    <row r="29" spans="1:388" ht="20.100000000000001" customHeight="1" x14ac:dyDescent="0.25">
      <c r="A29" s="41" t="s">
        <v>15</v>
      </c>
      <c r="B29" s="152"/>
      <c r="C29" s="152"/>
      <c r="D29" s="152"/>
      <c r="E29" s="152"/>
      <c r="F29" s="152"/>
      <c r="G29" s="152"/>
      <c r="H29" s="152"/>
      <c r="I29" s="152"/>
      <c r="J29" s="152"/>
      <c r="K29" s="152"/>
      <c r="L29" s="152"/>
      <c r="M29" s="152"/>
      <c r="N29" s="153">
        <f>SUM(Kassastamaksu_taulukko_3[[#This Row],[Jakso 1]:[Jakso 12]])</f>
        <v>0</v>
      </c>
      <c r="O29" s="55" t="s">
        <v>101</v>
      </c>
      <c r="P29" s="5"/>
      <c r="Q29" s="5"/>
      <c r="R29" s="5"/>
    </row>
    <row r="30" spans="1:388" ht="20.100000000000001" customHeight="1" x14ac:dyDescent="0.25">
      <c r="A30" s="18" t="s">
        <v>118</v>
      </c>
      <c r="B30" s="94"/>
      <c r="C30" s="94"/>
      <c r="D30" s="94"/>
      <c r="E30" s="94"/>
      <c r="F30" s="94"/>
      <c r="G30" s="94"/>
      <c r="H30" s="94"/>
      <c r="I30" s="94"/>
      <c r="J30" s="94"/>
      <c r="K30" s="94"/>
      <c r="L30" s="94"/>
      <c r="M30" s="94"/>
      <c r="N30" s="149">
        <f>SUM(Kassastamaksu_taulukko_3[[#This Row],[Jakso 1]:[Jakso 12]])</f>
        <v>0</v>
      </c>
      <c r="O30" s="55" t="s">
        <v>101</v>
      </c>
      <c r="P30" s="5"/>
      <c r="Q30" s="5"/>
      <c r="R30" s="5"/>
    </row>
    <row r="31" spans="1:388" ht="20.100000000000001" customHeight="1" thickBot="1" x14ac:dyDescent="0.3">
      <c r="A31" s="18" t="s">
        <v>119</v>
      </c>
      <c r="B31" s="94"/>
      <c r="C31" s="94"/>
      <c r="D31" s="94"/>
      <c r="E31" s="94"/>
      <c r="F31" s="94"/>
      <c r="G31" s="94"/>
      <c r="H31" s="94"/>
      <c r="I31" s="94"/>
      <c r="J31" s="94"/>
      <c r="K31" s="94"/>
      <c r="L31" s="94"/>
      <c r="M31" s="94"/>
      <c r="N31" s="149">
        <f>SUM(Kassastamaksu_taulukko_3[[#This Row],[Jakso 1]:[Jakso 12]])</f>
        <v>0</v>
      </c>
      <c r="O31" s="55" t="s">
        <v>101</v>
      </c>
      <c r="P31" s="5"/>
      <c r="Q31" s="5"/>
      <c r="R31" s="5"/>
    </row>
    <row r="32" spans="1:388" ht="30" customHeight="1" x14ac:dyDescent="0.25">
      <c r="A32" s="82" t="s">
        <v>32</v>
      </c>
      <c r="B32" s="154">
        <f>SUM(Kassastamaksu_taulukko_3[Jakso 1],B19,B21)</f>
        <v>0</v>
      </c>
      <c r="C32" s="154">
        <f>SUM(Kassastamaksu_taulukko_3[Jakso 2],C19,C21)</f>
        <v>0</v>
      </c>
      <c r="D32" s="154">
        <f>SUM(Kassastamaksu_taulukko_3[Jakso 3],D19,D21)</f>
        <v>0</v>
      </c>
      <c r="E32" s="154">
        <f>SUM(Kassastamaksu_taulukko_3[Jakso 4],E19,E21)</f>
        <v>0</v>
      </c>
      <c r="F32" s="154">
        <f>SUM(Kassastamaksu_taulukko_3[Jakso 5],F19,F21)</f>
        <v>0</v>
      </c>
      <c r="G32" s="154">
        <f>SUM(Kassastamaksu_taulukko_3[Jakso 6],G19,G21)</f>
        <v>0</v>
      </c>
      <c r="H32" s="154">
        <f>SUM(Kassastamaksu_taulukko_3[Jakso 7],H19,H21)</f>
        <v>0</v>
      </c>
      <c r="I32" s="154">
        <f>SUM(Kassastamaksu_taulukko_3[Jakso 8],I19,I21)</f>
        <v>0</v>
      </c>
      <c r="J32" s="154">
        <f>SUM(Kassastamaksu_taulukko_3[Jakso 9],J19,J21)</f>
        <v>0</v>
      </c>
      <c r="K32" s="154">
        <f>SUM(Kassastamaksu_taulukko_3[Jakso 10],K19,K21)</f>
        <v>0</v>
      </c>
      <c r="L32" s="154">
        <f>SUM(Kassastamaksu_taulukko_3[Jakso 11],L19,L21)</f>
        <v>0</v>
      </c>
      <c r="M32" s="154">
        <f>SUM(Kassastamaksu_taulukko_3[Jakso 12],M19,M21)</f>
        <v>0</v>
      </c>
      <c r="N32" s="154">
        <f>SUM(Kassastamaksu_taulukko_3[[#Totals],[Jakso 1]:[Jakso 12]])</f>
        <v>0</v>
      </c>
      <c r="O32" s="55" t="s">
        <v>101</v>
      </c>
      <c r="P32" s="5"/>
      <c r="Q32" s="5"/>
      <c r="R32" s="5"/>
    </row>
    <row r="33" spans="1:18" ht="30" customHeight="1" x14ac:dyDescent="0.25">
      <c r="A33" s="17" t="s">
        <v>120</v>
      </c>
      <c r="B33" s="26" t="s">
        <v>38</v>
      </c>
      <c r="C33" s="26" t="s">
        <v>39</v>
      </c>
      <c r="D33" s="26" t="s">
        <v>41</v>
      </c>
      <c r="E33" s="26" t="s">
        <v>40</v>
      </c>
      <c r="F33" s="26" t="s">
        <v>42</v>
      </c>
      <c r="G33" s="26" t="s">
        <v>43</v>
      </c>
      <c r="H33" s="26" t="s">
        <v>44</v>
      </c>
      <c r="I33" s="26" t="s">
        <v>45</v>
      </c>
      <c r="J33" s="26" t="s">
        <v>46</v>
      </c>
      <c r="K33" s="26" t="s">
        <v>47</v>
      </c>
      <c r="L33" s="26" t="s">
        <v>48</v>
      </c>
      <c r="M33" s="26" t="s">
        <v>49</v>
      </c>
      <c r="N33" s="27" t="s">
        <v>23</v>
      </c>
      <c r="O33" s="55" t="s">
        <v>101</v>
      </c>
      <c r="P33" s="5"/>
      <c r="Q33" s="5"/>
      <c r="R33" s="5"/>
    </row>
    <row r="34" spans="1:18" ht="20.100000000000001" customHeight="1" x14ac:dyDescent="0.25">
      <c r="A34" s="18" t="s">
        <v>126</v>
      </c>
      <c r="B34" s="94"/>
      <c r="C34" s="94"/>
      <c r="D34" s="94"/>
      <c r="E34" s="94"/>
      <c r="F34" s="94"/>
      <c r="G34" s="94"/>
      <c r="H34" s="94"/>
      <c r="I34" s="94"/>
      <c r="J34" s="94"/>
      <c r="K34" s="94"/>
      <c r="L34" s="94"/>
      <c r="M34" s="155"/>
      <c r="N34" s="149">
        <f>SUM(Rahoitus_taulukko_3[[#This Row],[Jakso 1]:[Jakso 12]])</f>
        <v>0</v>
      </c>
      <c r="O34" s="55" t="s">
        <v>101</v>
      </c>
      <c r="P34" s="5"/>
      <c r="Q34" s="5"/>
      <c r="R34" s="5"/>
    </row>
    <row r="35" spans="1:18" ht="20.100000000000001" customHeight="1" x14ac:dyDescent="0.25">
      <c r="A35" s="18" t="s">
        <v>121</v>
      </c>
      <c r="B35" s="94"/>
      <c r="C35" s="94"/>
      <c r="D35" s="94"/>
      <c r="E35" s="94"/>
      <c r="F35" s="94"/>
      <c r="G35" s="94"/>
      <c r="H35" s="94"/>
      <c r="I35" s="94"/>
      <c r="J35" s="94"/>
      <c r="K35" s="94"/>
      <c r="L35" s="94"/>
      <c r="M35" s="94"/>
      <c r="N35" s="149">
        <f>SUM(Rahoitus_taulukko_3[[#This Row],[Jakso 1]:[Jakso 12]])</f>
        <v>0</v>
      </c>
      <c r="O35" s="55" t="s">
        <v>101</v>
      </c>
      <c r="P35" s="5"/>
      <c r="Q35" s="5"/>
      <c r="R35" s="5"/>
    </row>
    <row r="36" spans="1:18" ht="20.100000000000001" customHeight="1" x14ac:dyDescent="0.25">
      <c r="A36" s="40" t="s">
        <v>122</v>
      </c>
      <c r="B36" s="150"/>
      <c r="C36" s="150"/>
      <c r="D36" s="150"/>
      <c r="E36" s="150"/>
      <c r="F36" s="150"/>
      <c r="G36" s="150"/>
      <c r="H36" s="150"/>
      <c r="I36" s="150"/>
      <c r="J36" s="150"/>
      <c r="K36" s="150"/>
      <c r="L36" s="150"/>
      <c r="M36" s="150"/>
      <c r="N36" s="151">
        <f>SUM(Rahoitus_taulukko_3[[#This Row],[Jakso 1]:[Jakso 12]])</f>
        <v>0</v>
      </c>
      <c r="O36" s="55" t="s">
        <v>101</v>
      </c>
      <c r="P36" s="5"/>
      <c r="Q36" s="5"/>
      <c r="R36" s="5"/>
    </row>
    <row r="37" spans="1:18" ht="20.100000000000001" customHeight="1" x14ac:dyDescent="0.25">
      <c r="A37" s="41" t="s">
        <v>127</v>
      </c>
      <c r="B37" s="152"/>
      <c r="C37" s="152"/>
      <c r="D37" s="152"/>
      <c r="E37" s="152"/>
      <c r="F37" s="152"/>
      <c r="G37" s="152"/>
      <c r="H37" s="152"/>
      <c r="I37" s="152"/>
      <c r="J37" s="152"/>
      <c r="K37" s="152"/>
      <c r="L37" s="152"/>
      <c r="M37" s="152"/>
      <c r="N37" s="153">
        <f>SUM(Rahoitus_taulukko_3[[#This Row],[Jakso 1]:[Jakso 12]])</f>
        <v>0</v>
      </c>
      <c r="O37" s="55" t="s">
        <v>101</v>
      </c>
      <c r="P37" s="5"/>
      <c r="Q37" s="5"/>
      <c r="R37" s="5"/>
    </row>
    <row r="38" spans="1:18" ht="20.100000000000001" customHeight="1" x14ac:dyDescent="0.25">
      <c r="A38" s="18" t="s">
        <v>123</v>
      </c>
      <c r="B38" s="94"/>
      <c r="C38" s="94"/>
      <c r="D38" s="94"/>
      <c r="E38" s="94"/>
      <c r="F38" s="94"/>
      <c r="G38" s="94"/>
      <c r="H38" s="94"/>
      <c r="I38" s="94"/>
      <c r="J38" s="94"/>
      <c r="K38" s="94"/>
      <c r="L38" s="94"/>
      <c r="M38" s="94"/>
      <c r="N38" s="149">
        <f>SUM(Rahoitus_taulukko_3[[#This Row],[Jakso 1]:[Jakso 12]])</f>
        <v>0</v>
      </c>
      <c r="O38" s="55" t="s">
        <v>101</v>
      </c>
      <c r="P38" s="5"/>
      <c r="Q38" s="5"/>
      <c r="R38" s="5"/>
    </row>
    <row r="39" spans="1:18" ht="20.100000000000001" customHeight="1" thickBot="1" x14ac:dyDescent="0.3">
      <c r="A39" s="40" t="s">
        <v>124</v>
      </c>
      <c r="B39" s="150"/>
      <c r="C39" s="150"/>
      <c r="D39" s="150"/>
      <c r="E39" s="150"/>
      <c r="F39" s="150"/>
      <c r="G39" s="150"/>
      <c r="H39" s="150"/>
      <c r="I39" s="150"/>
      <c r="J39" s="150"/>
      <c r="K39" s="150"/>
      <c r="L39" s="150"/>
      <c r="M39" s="150"/>
      <c r="N39" s="151">
        <f>SUM(Rahoitus_taulukko_3[[#This Row],[Jakso 1]:[Jakso 12]])</f>
        <v>0</v>
      </c>
      <c r="O39" s="55" t="s">
        <v>101</v>
      </c>
      <c r="P39" s="5"/>
      <c r="Q39" s="5"/>
      <c r="R39" s="5"/>
    </row>
    <row r="40" spans="1:18" ht="30" customHeight="1" x14ac:dyDescent="0.25">
      <c r="A40" s="169" t="s">
        <v>125</v>
      </c>
      <c r="B40" s="170">
        <f t="shared" ref="B40:M40" si="5">SUM(-B34,B35:B36,-B37,B38:B39)</f>
        <v>0</v>
      </c>
      <c r="C40" s="170">
        <f t="shared" si="5"/>
        <v>0</v>
      </c>
      <c r="D40" s="170">
        <f t="shared" si="5"/>
        <v>0</v>
      </c>
      <c r="E40" s="170">
        <f t="shared" si="5"/>
        <v>0</v>
      </c>
      <c r="F40" s="170">
        <f t="shared" si="5"/>
        <v>0</v>
      </c>
      <c r="G40" s="170">
        <f t="shared" si="5"/>
        <v>0</v>
      </c>
      <c r="H40" s="170">
        <f t="shared" si="5"/>
        <v>0</v>
      </c>
      <c r="I40" s="170">
        <f t="shared" si="5"/>
        <v>0</v>
      </c>
      <c r="J40" s="170">
        <f t="shared" si="5"/>
        <v>0</v>
      </c>
      <c r="K40" s="170">
        <f t="shared" si="5"/>
        <v>0</v>
      </c>
      <c r="L40" s="170">
        <f t="shared" si="5"/>
        <v>0</v>
      </c>
      <c r="M40" s="170">
        <f t="shared" si="5"/>
        <v>0</v>
      </c>
      <c r="N40" s="170">
        <f>SUM(Rahoitus_taulukko_3[[#Totals],[Jakso 1]:[Jakso 12]])</f>
        <v>0</v>
      </c>
      <c r="O40" s="55" t="s">
        <v>101</v>
      </c>
      <c r="P40" s="5"/>
      <c r="Q40" s="5"/>
      <c r="R40" s="5"/>
    </row>
    <row r="41" spans="1:18" ht="30" customHeight="1" x14ac:dyDescent="0.25">
      <c r="A41" s="171" t="s">
        <v>33</v>
      </c>
      <c r="B41" s="172" t="s">
        <v>38</v>
      </c>
      <c r="C41" s="172" t="s">
        <v>39</v>
      </c>
      <c r="D41" s="172" t="s">
        <v>41</v>
      </c>
      <c r="E41" s="172" t="s">
        <v>40</v>
      </c>
      <c r="F41" s="172" t="s">
        <v>42</v>
      </c>
      <c r="G41" s="172" t="s">
        <v>43</v>
      </c>
      <c r="H41" s="172" t="s">
        <v>44</v>
      </c>
      <c r="I41" s="172" t="s">
        <v>45</v>
      </c>
      <c r="J41" s="172" t="s">
        <v>46</v>
      </c>
      <c r="K41" s="172" t="s">
        <v>47</v>
      </c>
      <c r="L41" s="172" t="s">
        <v>48</v>
      </c>
      <c r="M41" s="172" t="s">
        <v>49</v>
      </c>
      <c r="N41" s="172" t="s">
        <v>23</v>
      </c>
      <c r="O41" s="55" t="s">
        <v>101</v>
      </c>
      <c r="P41" s="5"/>
      <c r="Q41" s="5"/>
      <c r="R41" s="5"/>
    </row>
    <row r="42" spans="1:18" ht="30" customHeight="1" x14ac:dyDescent="0.25">
      <c r="A42" s="173" t="s">
        <v>254</v>
      </c>
      <c r="B42" s="131">
        <f>SUM(Alkukassa_ja_tulot_taulukko_3[Jakso 1],-Kassastamaksu_taulukko_3[[#Totals],[Jakso 1]],Rahoitus_taulukko_3[[#Totals],[Jakso 1]])</f>
        <v>0</v>
      </c>
      <c r="C42" s="131">
        <f>SUM(Alkukassa_ja_tulot_taulukko_3[Jakso 2],-Kassastamaksu_taulukko_3[[#Totals],[Jakso 2]],Rahoitus_taulukko_3[[#Totals],[Jakso 2]])</f>
        <v>0</v>
      </c>
      <c r="D42" s="131">
        <f>SUM(Alkukassa_ja_tulot_taulukko_3[Jakso 3],-Kassastamaksu_taulukko_3[[#Totals],[Jakso 3]],Rahoitus_taulukko_3[[#Totals],[Jakso 3]])</f>
        <v>0</v>
      </c>
      <c r="E42" s="131">
        <f>SUM(Alkukassa_ja_tulot_taulukko_3[Jakso 4],-Kassastamaksu_taulukko_3[[#Totals],[Jakso 4]],Rahoitus_taulukko_3[[#Totals],[Jakso 4]])</f>
        <v>0</v>
      </c>
      <c r="F42" s="131">
        <f>SUM(Alkukassa_ja_tulot_taulukko_3[Jakso 5],-Kassastamaksu_taulukko_3[[#Totals],[Jakso 5]],Rahoitus_taulukko_3[[#Totals],[Jakso 5]])</f>
        <v>0</v>
      </c>
      <c r="G42" s="131">
        <f>SUM(Alkukassa_ja_tulot_taulukko_3[Jakso 6],-Kassastamaksu_taulukko_3[[#Totals],[Jakso 6]],Rahoitus_taulukko_3[[#Totals],[Jakso 6]])</f>
        <v>0</v>
      </c>
      <c r="H42" s="131">
        <f>SUM(Alkukassa_ja_tulot_taulukko_3[Jakso 7],-Kassastamaksu_taulukko_3[[#Totals],[Jakso 7]],Rahoitus_taulukko_3[[#Totals],[Jakso 7]])</f>
        <v>0</v>
      </c>
      <c r="I42" s="131">
        <f>SUM(Alkukassa_ja_tulot_taulukko_3[Jakso 8],-Kassastamaksu_taulukko_3[[#Totals],[Jakso 8]],Rahoitus_taulukko_3[[#Totals],[Jakso 8]])</f>
        <v>0</v>
      </c>
      <c r="J42" s="131">
        <f>SUM(Alkukassa_ja_tulot_taulukko_3[Jakso 9],-Kassastamaksu_taulukko_3[[#Totals],[Jakso 9]],Rahoitus_taulukko_3[[#Totals],[Jakso 9]])</f>
        <v>0</v>
      </c>
      <c r="K42" s="131">
        <f>SUM(Alkukassa_ja_tulot_taulukko_3[Jakso 10],-Kassastamaksu_taulukko_3[[#Totals],[Jakso 10]],Rahoitus_taulukko_3[[#Totals],[Jakso 10]])</f>
        <v>0</v>
      </c>
      <c r="L42" s="131">
        <f>SUM(Alkukassa_ja_tulot_taulukko_3[Jakso 11],-Kassastamaksu_taulukko_3[[#Totals],[Jakso 11]],Rahoitus_taulukko_3[[#Totals],[Jakso 11]])</f>
        <v>0</v>
      </c>
      <c r="M42" s="131">
        <f>SUM(Alkukassa_ja_tulot_taulukko_3[Jakso 12],-Kassastamaksu_taulukko_3[[#Totals],[Jakso 12]],Rahoitus_taulukko_3[[#Totals],[Jakso 12]])</f>
        <v>0</v>
      </c>
      <c r="N42" s="131"/>
      <c r="O42" s="55" t="s">
        <v>101</v>
      </c>
      <c r="P42" s="4"/>
      <c r="Q42" s="4"/>
      <c r="R42" s="4"/>
    </row>
    <row r="43" spans="1:18" ht="30" hidden="1" customHeight="1" x14ac:dyDescent="0.25">
      <c r="A43" s="174" t="s">
        <v>251</v>
      </c>
      <c r="B43" s="167" cm="1">
        <f t="array" ref="B43">SUM(B42,-Alkukassa_taulukko_3[Jakso 1])</f>
        <v>0</v>
      </c>
      <c r="C43" s="167">
        <f>SUM(C42,-B42)</f>
        <v>0</v>
      </c>
      <c r="D43" s="167">
        <f t="shared" ref="D43:M43" si="6">SUM(D42,-C42)</f>
        <v>0</v>
      </c>
      <c r="E43" s="167">
        <f t="shared" si="6"/>
        <v>0</v>
      </c>
      <c r="F43" s="167">
        <f t="shared" si="6"/>
        <v>0</v>
      </c>
      <c r="G43" s="167">
        <f t="shared" si="6"/>
        <v>0</v>
      </c>
      <c r="H43" s="167">
        <f t="shared" si="6"/>
        <v>0</v>
      </c>
      <c r="I43" s="167">
        <f t="shared" si="6"/>
        <v>0</v>
      </c>
      <c r="J43" s="167">
        <f t="shared" si="6"/>
        <v>0</v>
      </c>
      <c r="K43" s="167">
        <f t="shared" si="6"/>
        <v>0</v>
      </c>
      <c r="L43" s="167">
        <f t="shared" si="6"/>
        <v>0</v>
      </c>
      <c r="M43" s="167">
        <f t="shared" si="6"/>
        <v>0</v>
      </c>
      <c r="N43" s="168">
        <f>SUM(Maksuvalmius_taulukko_3[[#This Row],[Jakso 1]:[Jakso 12]])</f>
        <v>0</v>
      </c>
      <c r="O43" s="175" t="s">
        <v>101</v>
      </c>
      <c r="P43" s="5"/>
      <c r="Q43" s="5"/>
      <c r="R43" s="5"/>
    </row>
    <row r="44" spans="1:18" ht="30" customHeight="1" x14ac:dyDescent="0.25">
      <c r="A44" s="176" t="s">
        <v>186</v>
      </c>
      <c r="B44" s="39" t="s">
        <v>64</v>
      </c>
      <c r="C44" s="39" t="s">
        <v>64</v>
      </c>
      <c r="D44" s="39" t="s">
        <v>64</v>
      </c>
      <c r="E44" s="39" t="s">
        <v>64</v>
      </c>
      <c r="F44" s="39" t="s">
        <v>64</v>
      </c>
      <c r="G44" s="39" t="s">
        <v>64</v>
      </c>
      <c r="H44" s="39" t="s">
        <v>64</v>
      </c>
      <c r="I44" s="39" t="s">
        <v>64</v>
      </c>
      <c r="J44" s="39" t="s">
        <v>64</v>
      </c>
      <c r="K44" s="39" t="s">
        <v>64</v>
      </c>
      <c r="L44" s="39" t="s">
        <v>64</v>
      </c>
      <c r="M44" s="39" t="s">
        <v>64</v>
      </c>
      <c r="N44" s="39" t="s">
        <v>64</v>
      </c>
      <c r="O44" s="55" t="s">
        <v>101</v>
      </c>
      <c r="P44" s="5"/>
      <c r="Q44" s="5"/>
      <c r="R44" s="5"/>
    </row>
    <row r="45" spans="1:18" ht="180" customHeight="1" x14ac:dyDescent="0.25">
      <c r="A45" s="205" t="s">
        <v>256</v>
      </c>
      <c r="B45" s="39" t="s">
        <v>64</v>
      </c>
      <c r="C45" s="39" t="s">
        <v>64</v>
      </c>
      <c r="D45" s="39" t="s">
        <v>64</v>
      </c>
      <c r="E45" s="39" t="s">
        <v>64</v>
      </c>
      <c r="F45" s="39" t="s">
        <v>64</v>
      </c>
      <c r="G45" s="39" t="s">
        <v>64</v>
      </c>
      <c r="H45" s="39" t="s">
        <v>64</v>
      </c>
      <c r="I45" s="39" t="s">
        <v>64</v>
      </c>
      <c r="J45" s="39" t="s">
        <v>64</v>
      </c>
      <c r="K45" s="39" t="s">
        <v>64</v>
      </c>
      <c r="L45" s="39" t="s">
        <v>64</v>
      </c>
      <c r="M45" s="39" t="s">
        <v>64</v>
      </c>
      <c r="N45" s="39" t="s">
        <v>64</v>
      </c>
      <c r="O45" s="55" t="s">
        <v>101</v>
      </c>
      <c r="P45" s="4"/>
    </row>
    <row r="46" spans="1:18" ht="18" customHeight="1" x14ac:dyDescent="0.25">
      <c r="A46" s="179" t="s">
        <v>245</v>
      </c>
      <c r="B46" s="39" t="s">
        <v>64</v>
      </c>
      <c r="C46" s="39" t="s">
        <v>64</v>
      </c>
      <c r="D46" s="39" t="s">
        <v>64</v>
      </c>
      <c r="E46" s="39" t="s">
        <v>64</v>
      </c>
      <c r="F46" s="39" t="s">
        <v>64</v>
      </c>
      <c r="G46" s="39" t="s">
        <v>64</v>
      </c>
      <c r="H46" s="39" t="s">
        <v>64</v>
      </c>
      <c r="I46" s="39" t="s">
        <v>64</v>
      </c>
      <c r="J46" s="39" t="s">
        <v>64</v>
      </c>
      <c r="K46" s="39" t="s">
        <v>64</v>
      </c>
      <c r="L46" s="39" t="s">
        <v>64</v>
      </c>
      <c r="M46" s="39" t="s">
        <v>64</v>
      </c>
      <c r="N46" s="39" t="s">
        <v>64</v>
      </c>
      <c r="O46" s="55" t="s">
        <v>101</v>
      </c>
      <c r="P46" s="5"/>
      <c r="Q46" s="5"/>
      <c r="R46" s="5"/>
    </row>
    <row r="47" spans="1:18" ht="3.95" customHeight="1" x14ac:dyDescent="0.25">
      <c r="A47" s="55" t="s">
        <v>100</v>
      </c>
      <c r="B47" s="55" t="s">
        <v>100</v>
      </c>
      <c r="C47" s="55" t="s">
        <v>100</v>
      </c>
      <c r="D47" s="55" t="s">
        <v>100</v>
      </c>
      <c r="E47" s="55" t="s">
        <v>100</v>
      </c>
      <c r="F47" s="55" t="s">
        <v>100</v>
      </c>
      <c r="G47" s="55" t="s">
        <v>100</v>
      </c>
      <c r="H47" s="55" t="s">
        <v>100</v>
      </c>
      <c r="I47" s="55" t="s">
        <v>100</v>
      </c>
      <c r="J47" s="55" t="s">
        <v>100</v>
      </c>
      <c r="K47" s="55" t="s">
        <v>100</v>
      </c>
      <c r="L47" s="55" t="s">
        <v>100</v>
      </c>
      <c r="M47" s="55" t="s">
        <v>100</v>
      </c>
      <c r="N47" s="55" t="s">
        <v>100</v>
      </c>
      <c r="O47" s="55" t="s">
        <v>101</v>
      </c>
    </row>
  </sheetData>
  <sheetProtection sheet="1" objects="1" scenarios="1"/>
  <conditionalFormatting sqref="B9:N9 B17:N17 B42:N43">
    <cfRule type="expression" dxfId="0" priority="2" stopIfTrue="1">
      <formula>B9&lt;0</formula>
    </cfRule>
  </conditionalFormatting>
  <pageMargins left="0.7" right="0.7" top="0.75" bottom="0.75" header="0.3" footer="0.3"/>
  <pageSetup paperSize="9" orientation="portrait" horizontalDpi="0" verticalDpi="0"/>
  <drawing r:id="rId1"/>
  <legacyDrawing r:id="rId2"/>
  <tableParts count="8">
    <tablePart r:id="rId3"/>
    <tablePart r:id="rId4"/>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iconSet" priority="4" id="{C4D20626-89F3-5543-8C66-D57BDE7F5948}">
            <x14:iconSet iconSet="3Flags" custom="1">
              <x14:cfvo type="percent">
                <xm:f>0</xm:f>
              </x14:cfvo>
              <x14:cfvo type="num">
                <xm:f>0</xm:f>
              </x14:cfvo>
              <x14:cfvo type="num">
                <xm:f>1</xm:f>
              </x14:cfvo>
              <x14:cfIcon iconSet="3Flags" iconId="0"/>
              <x14:cfIcon iconSet="NoIcons" iconId="0"/>
              <x14:cfIcon iconSet="NoIcons" iconId="0"/>
            </x14:iconSet>
          </x14:cfRule>
          <xm:sqref>B17:N17 B9:N9</xm:sqref>
        </x14:conditionalFormatting>
        <x14:conditionalFormatting xmlns:xm="http://schemas.microsoft.com/office/excel/2006/main">
          <x14:cfRule type="iconSet" priority="6" id="{DC312491-6D1A-ED4A-8764-98A02B481B87}">
            <x14:iconSet iconSet="3Flags" custom="1">
              <x14:cfvo type="percent">
                <xm:f>0</xm:f>
              </x14:cfvo>
              <x14:cfvo type="num" gte="0">
                <xm:f>0</xm:f>
              </x14:cfvo>
              <x14:cfvo type="num" gte="0">
                <xm:f>1</xm:f>
              </x14:cfvo>
              <x14:cfIcon iconSet="3Flags" iconId="0"/>
              <x14:cfIcon iconSet="NoIcons" iconId="0"/>
              <x14:cfIcon iconSet="NoIcons" iconId="0"/>
            </x14:iconSet>
          </x14:cfRule>
          <xm:sqref>B42:N43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6</vt:i4>
      </vt:variant>
      <vt:variant>
        <vt:lpstr>Nimetyt alueet</vt:lpstr>
      </vt:variant>
      <vt:variant>
        <vt:i4>14</vt:i4>
      </vt:variant>
    </vt:vector>
  </HeadingPairs>
  <TitlesOfParts>
    <vt:vector size="20" baseType="lpstr">
      <vt:lpstr>Rahoituslaskelma</vt:lpstr>
      <vt:lpstr>Kannattavuuslaskelma</vt:lpstr>
      <vt:lpstr>Kk-myyntilaskelma</vt:lpstr>
      <vt:lpstr>Kassavirtalaskelma1v</vt:lpstr>
      <vt:lpstr>Kassavirtalaskelma2v</vt:lpstr>
      <vt:lpstr>Kassavirtalaskelma3v</vt:lpstr>
      <vt:lpstr>Kassavirtalaskelma1v!Arvonlisäveroprosentti</vt:lpstr>
      <vt:lpstr>Kassavirtalaskelma2v!Arvonlisäveroprosentti</vt:lpstr>
      <vt:lpstr>Kassavirtalaskelma3v!Arvonlisäveroprosentti</vt:lpstr>
      <vt:lpstr>Kassavirtalaskelma1v!Tilikauden_alku</vt:lpstr>
      <vt:lpstr>Kassavirtalaskelma2v!Tilikauden_alku</vt:lpstr>
      <vt:lpstr>Kassavirtalaskelma3v!Tilikauden_alku</vt:lpstr>
      <vt:lpstr>'Kk-myyntilaskelma'!Tuote_Palvelu_1_nimi</vt:lpstr>
      <vt:lpstr>'Kk-myyntilaskelma'!Tuote_Palvelu_2_nimi</vt:lpstr>
      <vt:lpstr>'Kk-myyntilaskelma'!Tuote_Palvelu_3_nimi</vt:lpstr>
      <vt:lpstr>'Kk-myyntilaskelma'!Tuote_Palvelu_4_nimi</vt:lpstr>
      <vt:lpstr>'Kk-myyntilaskelma'!Tuote_Palvelu_5_nimi</vt:lpstr>
      <vt:lpstr>'Kk-myyntilaskelma'!Tuote_Palvelu_6_nimi</vt:lpstr>
      <vt:lpstr>Kannattavuuslaskelma!Verohallinnon_sivujen_veroprosenttilaskuri</vt:lpstr>
      <vt:lpstr>Rahoituslaskelma!Yrityksen_nimi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Lasse Ilmonen</dc:creator>
  <cp:lastModifiedBy>Babitzin Valentin</cp:lastModifiedBy>
  <dcterms:created xsi:type="dcterms:W3CDTF">2023-11-22T13:26:55Z</dcterms:created>
  <dcterms:modified xsi:type="dcterms:W3CDTF">2026-01-14T12:55:30Z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35e945f-875f-47b7-87fa-10b3524d17f5_Enabled">
    <vt:lpwstr>true</vt:lpwstr>
  </property>
  <property fmtid="{D5CDD505-2E9C-101B-9397-08002B2CF9AE}" pid="3" name="MSIP_Label_f35e945f-875f-47b7-87fa-10b3524d17f5_SetDate">
    <vt:lpwstr>2026-01-13T07:38:15Z</vt:lpwstr>
  </property>
  <property fmtid="{D5CDD505-2E9C-101B-9397-08002B2CF9AE}" pid="4" name="MSIP_Label_f35e945f-875f-47b7-87fa-10b3524d17f5_Method">
    <vt:lpwstr>Standard</vt:lpwstr>
  </property>
  <property fmtid="{D5CDD505-2E9C-101B-9397-08002B2CF9AE}" pid="5" name="MSIP_Label_f35e945f-875f-47b7-87fa-10b3524d17f5_Name">
    <vt:lpwstr>Julkinen (harkinnanvaraisesti)</vt:lpwstr>
  </property>
  <property fmtid="{D5CDD505-2E9C-101B-9397-08002B2CF9AE}" pid="6" name="MSIP_Label_f35e945f-875f-47b7-87fa-10b3524d17f5_SiteId">
    <vt:lpwstr>3feb6bc1-d722-4726-966c-5b58b64df752</vt:lpwstr>
  </property>
  <property fmtid="{D5CDD505-2E9C-101B-9397-08002B2CF9AE}" pid="7" name="MSIP_Label_f35e945f-875f-47b7-87fa-10b3524d17f5_ActionId">
    <vt:lpwstr>b65fd3c9-c6d6-4864-863a-49e41e1ef17f</vt:lpwstr>
  </property>
  <property fmtid="{D5CDD505-2E9C-101B-9397-08002B2CF9AE}" pid="8" name="MSIP_Label_f35e945f-875f-47b7-87fa-10b3524d17f5_ContentBits">
    <vt:lpwstr>0</vt:lpwstr>
  </property>
  <property fmtid="{D5CDD505-2E9C-101B-9397-08002B2CF9AE}" pid="9" name="MSIP_Label_f35e945f-875f-47b7-87fa-10b3524d17f5_Tag">
    <vt:lpwstr>10, 3, 0, 1</vt:lpwstr>
  </property>
</Properties>
</file>