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comments2.xml" ContentType="application/vnd.openxmlformats-officedocument.spreadsheetml.comments+xml"/>
  <Override PartName="/xl/drawings/drawing3.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comments3.xml" ContentType="application/vnd.openxmlformats-officedocument.spreadsheetml.comments+xml"/>
  <Override PartName="/xl/drawings/drawing4.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comments4.xml" ContentType="application/vnd.openxmlformats-officedocument.spreadsheetml.comments+xml"/>
  <Override PartName="/xl/drawings/drawing5.xml" ContentType="application/vnd.openxmlformats-officedocument.drawing+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comments5.xml" ContentType="application/vnd.openxmlformats-officedocument.spreadsheetml.comments+xml"/>
  <Override PartName="/xl/drawings/drawing6.xml" ContentType="application/vnd.openxmlformats-officedocument.drawing+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comments6.xml" ContentType="application/vnd.openxmlformats-officedocument.spreadsheetml.comments+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KANSLIAS000002\HOME2$\BABITVA\System\Desktop\Laskelmat 2026 pohjat\"/>
    </mc:Choice>
  </mc:AlternateContent>
  <xr:revisionPtr revIDLastSave="0" documentId="13_ncr:1_{9AFA0437-15BE-4F4C-8061-7002E336C65B}" xr6:coauthVersionLast="47" xr6:coauthVersionMax="47" xr10:uidLastSave="{00000000-0000-0000-0000-000000000000}"/>
  <workbookProtection lockStructure="1"/>
  <bookViews>
    <workbookView xWindow="-120" yWindow="-120" windowWidth="38640" windowHeight="21120" xr2:uid="{C0EF424F-88BF-D34E-8BF7-BD04FDDB8F80}"/>
  </bookViews>
  <sheets>
    <sheet name="Finansieringskalkyl" sheetId="1" r:id="rId1"/>
    <sheet name="Lönsamhetskalkyl" sheetId="2" r:id="rId2"/>
    <sheet name="Försäljningskalkyl" sheetId="3" r:id="rId3"/>
    <sheet name="Kassaflödeskalkyl1å" sheetId="4" r:id="rId4"/>
    <sheet name="Kassaflödeskalkyl2å" sheetId="8" r:id="rId5"/>
    <sheet name="Kassaflödeskalkyl3å" sheetId="9" r:id="rId6"/>
  </sheets>
  <definedNames>
    <definedName name="Företagsnamn" comment="Skriv namnet på ditt företag här." localSheetId="0">Finansieringskalkyl!$A$5</definedName>
    <definedName name="Mervärdesskatteprocent" comment="Första årets mervärdesskattesats." localSheetId="3">Kassaflödeskalkyl1å!$A$5</definedName>
    <definedName name="Mervärdesskatteprocent" comment="Andra årets mervärdesskattesats." localSheetId="4">Kassaflödeskalkyl2å!$A$5</definedName>
    <definedName name="Mervärdesskatteprocent" comment="Tredje årets mervärdesskattesats." localSheetId="5">Kassaflödeskalkyl3å!$A$5</definedName>
    <definedName name="Produkt_Tjänst_1_namn" comment="Namnet på den första produkten, tjänsten eller produktgruppen." localSheetId="2">Försäljningskalkyl!$B$3</definedName>
    <definedName name="Produkt_Tjänst_2_namn" comment="Namnet på den andra produkten, tjänsten eller produktgruppen." localSheetId="2">Försäljningskalkyl!$D$3</definedName>
    <definedName name="Produkt_Tjänst_3_namn" comment="Namnet på den tredje produkten, tjänsten eller produktgruppen." localSheetId="2">Försäljningskalkyl!$F$3</definedName>
    <definedName name="Produkt_Tjänst_4_namn" comment="Namnet på den fjärde produkten, tjänsten eller produktgruppen." localSheetId="2">Försäljningskalkyl!$H$3</definedName>
    <definedName name="Produkt_Tjänst_5_namn" comment="Namnet på den femte produkten, tjänsten eller produktgruppen." localSheetId="2">Försäljningskalkyl!$J$3</definedName>
    <definedName name="Produkt_Tjänst_6_namn" comment="Namnet på den sjätte produkten, tjänsten eller produktgruppen." localSheetId="2">Försäljningskalkyl!$L$3</definedName>
    <definedName name="Räkenskapsperioden_börjar" comment="Räkenskapsårets början av det första året." localSheetId="3">Kassaflödeskalkyl1å!$A$7</definedName>
    <definedName name="Räkenskapsperioden_börjar" comment="Räkenskapsårets början av det andra året." localSheetId="4">Kassaflödeskalkyl2å!$A$7</definedName>
    <definedName name="Räkenskapsperioden_börjar" comment="Räkenskapsårets början av det tredje året." localSheetId="5">Kassaflödeskalkyl3å!$A$7</definedName>
    <definedName name="Skatteadministration_webbplats_skattesats_kalkylator" comment="Klicka här för att beräkna din skattesats mer i detalj med hjälp av skattesatskalkylatorn på Skatteförvaltningens hemsida." localSheetId="1">Lönsamhetskalkyl!$A$4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1" i="1" l="1"/>
  <c r="M7" i="9"/>
  <c r="L7" i="9"/>
  <c r="K7" i="9"/>
  <c r="J7" i="9"/>
  <c r="I7" i="9"/>
  <c r="H7" i="9"/>
  <c r="G7" i="9"/>
  <c r="F7" i="9"/>
  <c r="E7" i="9"/>
  <c r="D7" i="9"/>
  <c r="C7" i="9"/>
  <c r="B7" i="9"/>
  <c r="M7" i="8"/>
  <c r="L7" i="8"/>
  <c r="K7" i="8"/>
  <c r="J7" i="8"/>
  <c r="I7" i="8"/>
  <c r="H7" i="8"/>
  <c r="G7" i="8"/>
  <c r="F7" i="8"/>
  <c r="E7" i="8"/>
  <c r="D7" i="8"/>
  <c r="C7" i="8"/>
  <c r="B7" i="8"/>
  <c r="N7" i="4"/>
  <c r="M7" i="4"/>
  <c r="L7" i="4"/>
  <c r="K7" i="4"/>
  <c r="J7" i="4"/>
  <c r="I7" i="4"/>
  <c r="H7" i="4"/>
  <c r="G7" i="4"/>
  <c r="F7" i="4"/>
  <c r="E7" i="4"/>
  <c r="D7" i="4"/>
  <c r="C7" i="4"/>
  <c r="N8" i="3" l="1"/>
  <c r="N9" i="3"/>
  <c r="N10" i="3"/>
  <c r="N12" i="3"/>
  <c r="N13" i="3"/>
  <c r="E40" i="4" l="1"/>
  <c r="E20" i="4"/>
  <c r="N36" i="8" l="1"/>
  <c r="B32" i="4"/>
  <c r="B20" i="4"/>
  <c r="M20" i="9"/>
  <c r="N11" i="8"/>
  <c r="M40" i="8"/>
  <c r="B20" i="8" l="1"/>
  <c r="M20" i="4"/>
  <c r="O19" i="4"/>
  <c r="O11" i="4" l="1"/>
  <c r="O12" i="4"/>
  <c r="O13" i="4"/>
  <c r="M40" i="9" l="1"/>
  <c r="L40" i="9"/>
  <c r="K40" i="9"/>
  <c r="J40" i="9"/>
  <c r="I40" i="9"/>
  <c r="H40" i="9"/>
  <c r="G40" i="9"/>
  <c r="F40" i="9"/>
  <c r="E40" i="9"/>
  <c r="D40" i="9"/>
  <c r="C40" i="9"/>
  <c r="B40" i="9"/>
  <c r="N39" i="9"/>
  <c r="N38" i="9"/>
  <c r="N37" i="9"/>
  <c r="N36" i="9"/>
  <c r="N35" i="9"/>
  <c r="N34" i="9"/>
  <c r="N31" i="9"/>
  <c r="N30" i="9"/>
  <c r="N29" i="9"/>
  <c r="N28" i="9"/>
  <c r="N27" i="9"/>
  <c r="N26" i="9"/>
  <c r="N25" i="9"/>
  <c r="N24" i="9"/>
  <c r="N23" i="9"/>
  <c r="L20" i="9"/>
  <c r="K20" i="9"/>
  <c r="J20" i="9"/>
  <c r="I20" i="9"/>
  <c r="H20" i="9"/>
  <c r="G20" i="9"/>
  <c r="F20" i="9"/>
  <c r="E20" i="9"/>
  <c r="D20" i="9"/>
  <c r="C20" i="9"/>
  <c r="B20" i="9"/>
  <c r="N19" i="9"/>
  <c r="M14" i="9"/>
  <c r="M15" i="9" s="1"/>
  <c r="L14" i="9"/>
  <c r="L15" i="9" s="1"/>
  <c r="K14" i="9"/>
  <c r="K15" i="9" s="1"/>
  <c r="J14" i="9"/>
  <c r="J15" i="9" s="1"/>
  <c r="I14" i="9"/>
  <c r="I15" i="9" s="1"/>
  <c r="H14" i="9"/>
  <c r="H15" i="9" s="1"/>
  <c r="G14" i="9"/>
  <c r="G15" i="9" s="1"/>
  <c r="F14" i="9"/>
  <c r="F15" i="9" s="1"/>
  <c r="E14" i="9"/>
  <c r="E15" i="9" s="1"/>
  <c r="D14" i="9"/>
  <c r="D15" i="9" s="1"/>
  <c r="C14" i="9"/>
  <c r="C15" i="9" s="1"/>
  <c r="B14" i="9"/>
  <c r="N13" i="9"/>
  <c r="N12" i="9"/>
  <c r="N11" i="9"/>
  <c r="N39" i="8"/>
  <c r="N38" i="8"/>
  <c r="N37" i="8"/>
  <c r="N35" i="8"/>
  <c r="N34" i="8"/>
  <c r="N31" i="8"/>
  <c r="N30" i="8"/>
  <c r="N29" i="8"/>
  <c r="N28" i="8"/>
  <c r="N27" i="8"/>
  <c r="N26" i="8"/>
  <c r="N25" i="8"/>
  <c r="N24" i="8"/>
  <c r="N23" i="8"/>
  <c r="N19" i="8"/>
  <c r="N13" i="8"/>
  <c r="N12" i="8"/>
  <c r="L40" i="8"/>
  <c r="K40" i="8"/>
  <c r="J40" i="8"/>
  <c r="I40" i="8"/>
  <c r="H40" i="8"/>
  <c r="G40" i="8"/>
  <c r="F40" i="8"/>
  <c r="E40" i="8"/>
  <c r="D40" i="8"/>
  <c r="C40" i="8"/>
  <c r="B40" i="8"/>
  <c r="M20" i="8"/>
  <c r="L20" i="8"/>
  <c r="K20" i="8"/>
  <c r="J20" i="8"/>
  <c r="I20" i="8"/>
  <c r="H20" i="8"/>
  <c r="G20" i="8"/>
  <c r="F20" i="8"/>
  <c r="E20" i="8"/>
  <c r="D20" i="8"/>
  <c r="C20" i="8"/>
  <c r="M14" i="8"/>
  <c r="M15" i="8" s="1"/>
  <c r="L14" i="8"/>
  <c r="L15" i="8" s="1"/>
  <c r="K14" i="8"/>
  <c r="K15" i="8" s="1"/>
  <c r="J14" i="8"/>
  <c r="J15" i="8" s="1"/>
  <c r="I14" i="8"/>
  <c r="I15" i="8" s="1"/>
  <c r="H14" i="8"/>
  <c r="H15" i="8" s="1"/>
  <c r="G14" i="8"/>
  <c r="G15" i="8" s="1"/>
  <c r="F14" i="8"/>
  <c r="F15" i="8" s="1"/>
  <c r="E14" i="8"/>
  <c r="E15" i="8" s="1"/>
  <c r="D14" i="8"/>
  <c r="D15" i="8" s="1"/>
  <c r="C14" i="8"/>
  <c r="B14" i="8"/>
  <c r="O23" i="4"/>
  <c r="C32" i="4"/>
  <c r="C20" i="4"/>
  <c r="D20" i="4"/>
  <c r="F20" i="4"/>
  <c r="G20" i="4"/>
  <c r="H20" i="4"/>
  <c r="I20" i="4"/>
  <c r="J20" i="4"/>
  <c r="K20" i="4"/>
  <c r="L20" i="4"/>
  <c r="N20" i="4"/>
  <c r="N14" i="4"/>
  <c r="N15" i="4" s="1"/>
  <c r="C14" i="4"/>
  <c r="D14" i="4"/>
  <c r="E14" i="4"/>
  <c r="E15" i="4" s="1"/>
  <c r="F14" i="4"/>
  <c r="F15" i="4" s="1"/>
  <c r="G14" i="4"/>
  <c r="G15" i="4" s="1"/>
  <c r="H14" i="4"/>
  <c r="H15" i="4" s="1"/>
  <c r="I14" i="4"/>
  <c r="I15" i="4" s="1"/>
  <c r="J14" i="4"/>
  <c r="J15" i="4" s="1"/>
  <c r="K14" i="4"/>
  <c r="K15" i="4" s="1"/>
  <c r="L14" i="4"/>
  <c r="L15" i="4" s="1"/>
  <c r="M14" i="4"/>
  <c r="M15" i="4" s="1"/>
  <c r="B14" i="4"/>
  <c r="B15" i="4" s="1"/>
  <c r="N14" i="8" l="1"/>
  <c r="B15" i="8"/>
  <c r="D21" i="8" s="1"/>
  <c r="D32" i="8" s="1"/>
  <c r="M21" i="4"/>
  <c r="M32" i="4" s="1"/>
  <c r="N40" i="9"/>
  <c r="M21" i="9"/>
  <c r="M32" i="9" s="1"/>
  <c r="B17" i="4"/>
  <c r="D21" i="4"/>
  <c r="N40" i="8"/>
  <c r="F21" i="9"/>
  <c r="F32" i="9" s="1"/>
  <c r="N21" i="4"/>
  <c r="N32" i="4" s="1"/>
  <c r="C21" i="9"/>
  <c r="C32" i="9" s="1"/>
  <c r="B21" i="9"/>
  <c r="B32" i="9" s="1"/>
  <c r="C15" i="8"/>
  <c r="B21" i="8"/>
  <c r="B32" i="8" s="1"/>
  <c r="G21" i="9"/>
  <c r="G32" i="9" s="1"/>
  <c r="H21" i="4"/>
  <c r="H32" i="4" s="1"/>
  <c r="E21" i="9"/>
  <c r="E32" i="9" s="1"/>
  <c r="C21" i="8"/>
  <c r="D15" i="4"/>
  <c r="F21" i="4" s="1"/>
  <c r="F32" i="4" s="1"/>
  <c r="O14" i="4"/>
  <c r="N20" i="8"/>
  <c r="H21" i="9"/>
  <c r="H32" i="9" s="1"/>
  <c r="I21" i="9"/>
  <c r="I32" i="9" s="1"/>
  <c r="J21" i="9"/>
  <c r="J32" i="9" s="1"/>
  <c r="K21" i="9"/>
  <c r="K32" i="9" s="1"/>
  <c r="N20" i="9"/>
  <c r="O20" i="4"/>
  <c r="L21" i="9"/>
  <c r="L32" i="9" s="1"/>
  <c r="N14" i="9"/>
  <c r="B15" i="9"/>
  <c r="H21" i="8"/>
  <c r="H32" i="8" s="1"/>
  <c r="I21" i="8"/>
  <c r="I32" i="8" s="1"/>
  <c r="F21" i="8"/>
  <c r="F32" i="8" s="1"/>
  <c r="K21" i="8"/>
  <c r="K32" i="8" s="1"/>
  <c r="J21" i="8"/>
  <c r="J32" i="8" s="1"/>
  <c r="L21" i="8"/>
  <c r="L32" i="8" s="1"/>
  <c r="M21" i="8"/>
  <c r="M32" i="8" s="1"/>
  <c r="G21" i="8"/>
  <c r="G32" i="8" s="1"/>
  <c r="G21" i="4"/>
  <c r="G32" i="4" s="1"/>
  <c r="K21" i="4"/>
  <c r="K32" i="4" s="1"/>
  <c r="L21" i="4"/>
  <c r="L32" i="4" s="1"/>
  <c r="J21" i="4"/>
  <c r="J32" i="4" s="1"/>
  <c r="I21" i="4"/>
  <c r="I32" i="4" s="1"/>
  <c r="C15" i="4"/>
  <c r="N15" i="8" l="1"/>
  <c r="E21" i="8"/>
  <c r="E32" i="8" s="1"/>
  <c r="E21" i="4"/>
  <c r="E32" i="4" s="1"/>
  <c r="O15" i="4"/>
  <c r="D21" i="9"/>
  <c r="N15" i="9"/>
  <c r="C32" i="8"/>
  <c r="D32" i="4"/>
  <c r="N21" i="8" l="1"/>
  <c r="N32" i="8"/>
  <c r="O21" i="4"/>
  <c r="O32" i="4"/>
  <c r="D32" i="9"/>
  <c r="N21" i="9"/>
  <c r="M6" i="3"/>
  <c r="K6" i="3"/>
  <c r="I6" i="3"/>
  <c r="G6" i="3"/>
  <c r="E6" i="3"/>
  <c r="B14" i="3"/>
  <c r="N14" i="3" s="1"/>
  <c r="O25" i="4"/>
  <c r="N32" i="9" l="1"/>
  <c r="C6" i="3"/>
  <c r="C17" i="3"/>
  <c r="N17" i="3" s="1"/>
  <c r="C16" i="3"/>
  <c r="N16" i="3" s="1"/>
  <c r="C6" i="2" l="1"/>
  <c r="B38" i="1"/>
  <c r="M10" i="3"/>
  <c r="L14" i="3"/>
  <c r="H14" i="3"/>
  <c r="F14" i="3"/>
  <c r="D14" i="3"/>
  <c r="E16" i="3" l="1"/>
  <c r="E17" i="3"/>
  <c r="I16" i="3"/>
  <c r="I17" i="3"/>
  <c r="G17" i="3"/>
  <c r="G16" i="3"/>
  <c r="M17" i="3"/>
  <c r="M16" i="3"/>
  <c r="C40" i="4" l="1"/>
  <c r="D40" i="4"/>
  <c r="F40" i="4"/>
  <c r="G40" i="4"/>
  <c r="H40" i="4"/>
  <c r="I40" i="4"/>
  <c r="J40" i="4"/>
  <c r="K40" i="4"/>
  <c r="L40" i="4"/>
  <c r="M40" i="4"/>
  <c r="N40" i="4"/>
  <c r="B40" i="4"/>
  <c r="B42" i="4" s="1"/>
  <c r="B43" i="4" s="1"/>
  <c r="O34" i="4"/>
  <c r="O35" i="4"/>
  <c r="O36" i="4"/>
  <c r="O37" i="4"/>
  <c r="O38" i="4"/>
  <c r="O39" i="4"/>
  <c r="C9" i="4" l="1"/>
  <c r="O40" i="4"/>
  <c r="C17" i="2" l="1"/>
  <c r="C31" i="2" l="1"/>
  <c r="C30" i="2"/>
  <c r="B49" i="1"/>
  <c r="C11" i="2"/>
  <c r="C9" i="2"/>
  <c r="C7" i="2"/>
  <c r="C15" i="2"/>
  <c r="C16" i="2"/>
  <c r="C18" i="2"/>
  <c r="C19" i="2"/>
  <c r="C20" i="2"/>
  <c r="C21" i="2"/>
  <c r="C22" i="2"/>
  <c r="C23" i="2"/>
  <c r="C24" i="2"/>
  <c r="C25" i="2"/>
  <c r="C26" i="2"/>
  <c r="C27" i="2"/>
  <c r="C28" i="2"/>
  <c r="C29" i="2"/>
  <c r="C32" i="2"/>
  <c r="C14" i="2"/>
  <c r="B35" i="1"/>
  <c r="B51" i="1" l="1"/>
  <c r="C33" i="2"/>
  <c r="B8" i="2" l="1"/>
  <c r="B33" i="2"/>
  <c r="O24" i="4"/>
  <c r="O26" i="4"/>
  <c r="O27" i="4"/>
  <c r="O28" i="4"/>
  <c r="O29" i="4"/>
  <c r="O30" i="4"/>
  <c r="O31" i="4"/>
  <c r="C10" i="3" l="1"/>
  <c r="C9" i="3"/>
  <c r="C8" i="3"/>
  <c r="C11" i="3"/>
  <c r="N11" i="3" s="1"/>
  <c r="C13" i="3"/>
  <c r="C12" i="3"/>
  <c r="C17" i="4"/>
  <c r="C42" i="4" s="1"/>
  <c r="I12" i="3"/>
  <c r="I11" i="3"/>
  <c r="I10" i="3"/>
  <c r="I9" i="3"/>
  <c r="I8" i="3"/>
  <c r="I13" i="3"/>
  <c r="B10" i="2"/>
  <c r="C10" i="2" s="1"/>
  <c r="C12" i="2" s="1"/>
  <c r="C8" i="2"/>
  <c r="C43" i="4" l="1"/>
  <c r="C15" i="3"/>
  <c r="N15" i="3" s="1"/>
  <c r="I15" i="3"/>
  <c r="B12" i="2"/>
  <c r="B35" i="2" s="1"/>
  <c r="B36" i="2" s="1"/>
  <c r="D9" i="4"/>
  <c r="C35" i="2"/>
  <c r="C36" i="2" l="1"/>
  <c r="C37" i="2"/>
  <c r="B39" i="2"/>
  <c r="B40" i="2" s="1"/>
  <c r="B41" i="2" s="1"/>
  <c r="B42" i="2" s="1"/>
  <c r="B37" i="2"/>
  <c r="B48" i="2" l="1"/>
  <c r="C39" i="2"/>
  <c r="C40" i="2" s="1"/>
  <c r="C41" i="2" s="1"/>
  <c r="C42" i="2" s="1"/>
  <c r="B51" i="2"/>
  <c r="C51" i="2" s="1"/>
  <c r="D51" i="2" s="1"/>
  <c r="B52" i="2"/>
  <c r="C52" i="2" s="1"/>
  <c r="D52" i="2" s="1"/>
  <c r="B56" i="2"/>
  <c r="C56" i="2" s="1"/>
  <c r="D56" i="2" s="1"/>
  <c r="B50" i="2" l="1"/>
  <c r="C50" i="2" s="1"/>
  <c r="D50" i="2" s="1"/>
  <c r="D17" i="4"/>
  <c r="B55" i="2"/>
  <c r="C55" i="2" s="1"/>
  <c r="D55" i="2" s="1"/>
  <c r="B53" i="2"/>
  <c r="C53" i="2" s="1"/>
  <c r="D53" i="2" s="1"/>
  <c r="D42" i="4" l="1"/>
  <c r="D43" i="4" l="1"/>
  <c r="E9" i="4"/>
  <c r="E17" i="4" s="1"/>
  <c r="E42" i="4" s="1"/>
  <c r="E43" i="4" s="1"/>
  <c r="F9" i="4" l="1"/>
  <c r="F17" i="4" s="1"/>
  <c r="F42" i="4" s="1"/>
  <c r="F43" i="4" l="1"/>
  <c r="G9" i="4"/>
  <c r="G17" i="4" s="1"/>
  <c r="G42" i="4" s="1"/>
  <c r="G43" i="4" l="1"/>
  <c r="H9" i="4"/>
  <c r="H17" i="4" s="1"/>
  <c r="H42" i="4" l="1"/>
  <c r="H43" i="4" l="1"/>
  <c r="I9" i="4"/>
  <c r="I17" i="4" s="1"/>
  <c r="I42" i="4" l="1"/>
  <c r="I43" i="4" l="1"/>
  <c r="J9" i="4"/>
  <c r="J17" i="4" s="1"/>
  <c r="J42" i="4" l="1"/>
  <c r="J43" i="4" l="1"/>
  <c r="K9" i="4"/>
  <c r="K17" i="4" s="1"/>
  <c r="K42" i="4" l="1"/>
  <c r="B22" i="3"/>
  <c r="B47" i="2"/>
  <c r="B49" i="2" s="1"/>
  <c r="K43" i="4" l="1"/>
  <c r="L9" i="4"/>
  <c r="L17" i="4" s="1"/>
  <c r="C49" i="2"/>
  <c r="B54" i="2"/>
  <c r="B57" i="2"/>
  <c r="B59" i="2" s="1"/>
  <c r="B61" i="2" s="1"/>
  <c r="C22" i="3"/>
  <c r="L42" i="4" l="1"/>
  <c r="C48" i="2"/>
  <c r="C47" i="2" s="1"/>
  <c r="D49" i="2"/>
  <c r="C54" i="2"/>
  <c r="C57" i="2" s="1"/>
  <c r="C59" i="2" s="1"/>
  <c r="C61" i="2" s="1"/>
  <c r="L43" i="4" l="1"/>
  <c r="M9" i="4"/>
  <c r="M17" i="4" s="1"/>
  <c r="D54" i="2"/>
  <c r="D57" i="2" s="1"/>
  <c r="D59" i="2" s="1"/>
  <c r="D61" i="2" s="1"/>
  <c r="D48" i="2"/>
  <c r="D47" i="2" s="1"/>
  <c r="M42" i="4" l="1"/>
  <c r="E9" i="3"/>
  <c r="E11" i="3"/>
  <c r="E10" i="3"/>
  <c r="E12" i="3"/>
  <c r="E13" i="3"/>
  <c r="E8" i="3"/>
  <c r="G12" i="3"/>
  <c r="G8" i="3"/>
  <c r="G11" i="3"/>
  <c r="G9" i="3"/>
  <c r="G10" i="3"/>
  <c r="G13" i="3"/>
  <c r="M43" i="4" l="1"/>
  <c r="N9" i="4"/>
  <c r="N17" i="4" s="1"/>
  <c r="G15" i="3"/>
  <c r="E15" i="3"/>
  <c r="K13" i="3"/>
  <c r="K10" i="3"/>
  <c r="K8" i="3"/>
  <c r="K9" i="3"/>
  <c r="K11" i="3"/>
  <c r="J14" i="3"/>
  <c r="K12" i="3"/>
  <c r="M12" i="3"/>
  <c r="M13" i="3"/>
  <c r="M8" i="3"/>
  <c r="M11" i="3"/>
  <c r="M9" i="3"/>
  <c r="N42" i="4" l="1"/>
  <c r="N43" i="4" s="1"/>
  <c r="O43" i="4" s="1"/>
  <c r="K16" i="3"/>
  <c r="K17" i="3"/>
  <c r="K15" i="3"/>
  <c r="M15" i="3"/>
  <c r="B9" i="8" l="1"/>
  <c r="B17" i="8" s="1"/>
  <c r="B42" i="8" s="1"/>
  <c r="B21" i="3"/>
  <c r="B20" i="3"/>
  <c r="C20" i="3" s="1"/>
  <c r="B19" i="3"/>
  <c r="C19" i="3" s="1"/>
  <c r="B43" i="8" l="1" a="1"/>
  <c r="B43" i="8" s="1"/>
  <c r="C9" i="8"/>
  <c r="C17" i="8" s="1"/>
  <c r="C42" i="8" s="1"/>
  <c r="B23" i="3"/>
  <c r="B24" i="3" s="1"/>
  <c r="C21" i="3"/>
  <c r="C43" i="8" l="1"/>
  <c r="D9" i="8"/>
  <c r="D17" i="8" l="1"/>
  <c r="D42" i="8" l="1"/>
  <c r="E9" i="8" l="1"/>
  <c r="D43" i="8"/>
  <c r="E17" i="8"/>
  <c r="E42" i="8" l="1"/>
  <c r="F9" i="8" l="1"/>
  <c r="F17" i="8" s="1"/>
  <c r="E43" i="8"/>
  <c r="F42" i="8" l="1"/>
  <c r="G9" i="8" l="1"/>
  <c r="F43" i="8"/>
  <c r="G17" i="8"/>
  <c r="G42" i="8" l="1"/>
  <c r="G43" i="8" l="1"/>
  <c r="H9" i="8"/>
  <c r="H17" i="8" s="1"/>
  <c r="H42" i="8" s="1"/>
  <c r="I9" i="8" l="1"/>
  <c r="H43" i="8"/>
  <c r="I17" i="8"/>
  <c r="I42" i="8" l="1"/>
  <c r="I43" i="8" l="1"/>
  <c r="J9" i="8"/>
  <c r="J17" i="8" s="1"/>
  <c r="J42" i="8" s="1"/>
  <c r="J43" i="8" l="1"/>
  <c r="K9" i="8"/>
  <c r="K17" i="8" s="1"/>
  <c r="K42" i="8" s="1"/>
  <c r="K43" i="8" l="1"/>
  <c r="L9" i="8"/>
  <c r="L17" i="8" s="1"/>
  <c r="L42" i="8" s="1"/>
  <c r="L43" i="8" l="1"/>
  <c r="M9" i="8"/>
  <c r="M17" i="8" s="1"/>
  <c r="M42" i="8" s="1"/>
  <c r="B9" i="9" s="1"/>
  <c r="B17" i="9" l="1"/>
  <c r="B42" i="9" s="1"/>
  <c r="M43" i="8"/>
  <c r="N43" i="8" s="1"/>
  <c r="B43" i="9" l="1" a="1"/>
  <c r="B43" i="9" s="1"/>
  <c r="C9" i="9"/>
  <c r="C17" i="9" s="1"/>
  <c r="C42" i="9" s="1"/>
  <c r="C43" i="9" l="1"/>
  <c r="D9" i="9"/>
  <c r="D17" i="9" s="1"/>
  <c r="D42" i="9" l="1"/>
  <c r="D43" i="9" l="1"/>
  <c r="E9" i="9"/>
  <c r="E17" i="9" s="1"/>
  <c r="E42" i="9" s="1"/>
  <c r="E43" i="9" l="1"/>
  <c r="F9" i="9"/>
  <c r="F17" i="9" s="1"/>
  <c r="F42" i="9" s="1"/>
  <c r="F43" i="9" s="1"/>
  <c r="G9" i="9" l="1"/>
  <c r="G17" i="9" s="1"/>
  <c r="G42" i="9" l="1"/>
  <c r="G43" i="9" l="1"/>
  <c r="H9" i="9"/>
  <c r="H17" i="9" s="1"/>
  <c r="H42" i="9" s="1"/>
  <c r="H43" i="9" l="1"/>
  <c r="I9" i="9"/>
  <c r="I17" i="9" s="1"/>
  <c r="I42" i="9" l="1"/>
  <c r="I43" i="9" l="1"/>
  <c r="J9" i="9"/>
  <c r="J17" i="9" s="1"/>
  <c r="J42" i="9" l="1"/>
  <c r="J43" i="9" l="1"/>
  <c r="K9" i="9"/>
  <c r="K17" i="9"/>
  <c r="K42" i="9" l="1"/>
  <c r="K43" i="9" l="1"/>
  <c r="L9" i="9"/>
  <c r="L17" i="9" s="1"/>
  <c r="L42" i="9" s="1"/>
  <c r="L43" i="9" l="1"/>
  <c r="M9" i="9"/>
  <c r="M17" i="9" s="1"/>
  <c r="M42" i="9" s="1"/>
  <c r="M43" i="9" s="1"/>
  <c r="N43"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13" authorId="0" shapeId="0" xr:uid="{BFD33933-7894-DD4B-B5E4-343613639E36}">
      <text>
        <r>
          <rPr>
            <b/>
            <sz val="12"/>
            <color rgb="FF000000"/>
            <rFont val="Arial"/>
            <family val="34"/>
          </rPr>
          <t xml:space="preserve">Utgifter för grundande av företaget: </t>
        </r>
        <r>
          <rPr>
            <sz val="12"/>
            <color rgb="FF000000"/>
            <rFont val="Arial"/>
            <family val="34"/>
          </rPr>
          <t>Registrering av en firma kostar 70 €, registrering av ett aktiebolag kostar 280 €. Även kostnader för utarbetande av exempelvis ett aktieavtal eller sektorsspecifika tillstånd kan inkluderas i kostnaderna för grundande.</t>
        </r>
      </text>
    </comment>
    <comment ref="A15" authorId="0" shapeId="0" xr:uid="{6E128261-8775-4743-8D38-1A359F84D75B}">
      <text>
        <r>
          <rPr>
            <b/>
            <sz val="12"/>
            <color rgb="FF000000"/>
            <rFont val="Arial"/>
            <family val="34"/>
          </rPr>
          <t>Färdiga</t>
        </r>
        <r>
          <rPr>
            <b/>
            <sz val="12"/>
            <color rgb="FF000000"/>
            <rFont val="Arial"/>
            <family val="34"/>
          </rPr>
          <t xml:space="preserve"> arbetsredskap</t>
        </r>
        <r>
          <rPr>
            <sz val="12"/>
            <color rgb="FF000000"/>
            <rFont val="Arial"/>
            <family val="34"/>
          </rPr>
          <t>: Skriv här in det uppskattade värdet på eventuella existerade arbetsredskap för din affärsverksamhet. Kalkylen överför automatiskt deras värde även till tabellen “Penningkällor” vid punkten “Egna arbetsredskap”.</t>
        </r>
      </text>
    </comment>
    <comment ref="A26" authorId="0" shapeId="0" xr:uid="{357292F4-8B8C-F843-AEFE-58722A09AAFC}">
      <text>
        <r>
          <rPr>
            <b/>
            <sz val="12"/>
            <color rgb="FF000000"/>
            <rFont val="Arial"/>
            <family val="34"/>
          </rPr>
          <t xml:space="preserve">Hyra för lokaler / hyressäkerheter: </t>
        </r>
        <r>
          <rPr>
            <sz val="12"/>
            <color rgb="FF000000"/>
            <rFont val="Arial"/>
            <family val="34"/>
          </rPr>
          <t>Om du uppskattar att det kommer att ta 3 månader innan du genom intern finansiering (pengar från kunder) kan betala för hyran, och du är tvungen att betala en hyressäkerhet på 3 månader, ska du här skriva in din månadshyra x 6.</t>
        </r>
      </text>
    </comment>
    <comment ref="A28" authorId="0" shapeId="0" xr:uid="{546CCFE8-B6B5-2947-A7F5-B62BFB0ECBB4}">
      <text>
        <r>
          <rPr>
            <b/>
            <sz val="12"/>
            <color rgb="FF000000"/>
            <rFont val="Arial"/>
            <family val="34"/>
          </rPr>
          <t xml:space="preserve">Företagarens egen utkomst: </t>
        </r>
        <r>
          <rPr>
            <sz val="12"/>
            <color rgb="FF000000"/>
            <rFont val="Arial"/>
            <family val="34"/>
          </rPr>
          <t>Hur mycket behöver du i månaden för dina egna obligatoriska utgifter? Multiplicera detta belopp med antalet månader fram till att du uppskattar att verksamheten börjar producera utkomst för dig.</t>
        </r>
      </text>
    </comment>
    <comment ref="A51" authorId="0" shapeId="0" xr:uid="{9B194AD3-1382-D34E-B963-01F730557DBD}">
      <text>
        <r>
          <rPr>
            <b/>
            <sz val="12"/>
            <color rgb="FF000000"/>
            <rFont val="Arial"/>
            <family val="34"/>
          </rPr>
          <t xml:space="preserve">Differensen mellan penningkällor och behov av pengar: </t>
        </r>
        <r>
          <rPr>
            <sz val="12"/>
            <color rgb="FF000000"/>
            <rFont val="Arial"/>
            <family val="34"/>
          </rPr>
          <t>Finansieringskalkylen har gjorts korrekt, då behovet av pengar är lika med penningkällorna. Om du får ett resultat med minustecken som differens, ska du öka summan för penningkällorna, så att den motsvarar behovet av pengar.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6" authorId="0" shapeId="0" xr:uid="{8F83E834-53FD-5344-944D-A81C0170F9C6}">
      <text>
        <r>
          <rPr>
            <b/>
            <sz val="12"/>
            <color rgb="FF000000"/>
            <rFont val="Arial"/>
            <family val="34"/>
          </rPr>
          <t>Nettoinkomst för firmaföretagare eller resultat för aktiebolag:</t>
        </r>
        <r>
          <rPr>
            <sz val="12"/>
            <color rgb="FF000000"/>
            <rFont val="Arial"/>
            <family val="34"/>
          </rPr>
          <t xml:space="preserve"> Med målresultat avses nettointäktsbehovet för företagarens egen företagsverksamhet. Du får det genom att bedöma hur mycket pengar du behöver i månaden för dina personliga utgifter (boende, mat, kläder etc.). Du kan också bedöma målresultatet med hjälp av den lön du får i ett anställningsförhållande. För aktiebolag kommer bruttolönen på rad 17.</t>
        </r>
      </text>
    </comment>
    <comment ref="A8" authorId="0" shapeId="0" xr:uid="{40072EB0-A3EB-AE46-A532-9601AAD39EA0}">
      <text>
        <r>
          <rPr>
            <b/>
            <sz val="12"/>
            <color rgb="FF000000"/>
            <rFont val="Arial"/>
            <family val="34"/>
          </rPr>
          <t xml:space="preserve">Nettointäkter: </t>
        </r>
        <r>
          <rPr>
            <sz val="12"/>
            <color rgb="FF000000"/>
            <rFont val="Arial"/>
            <family val="34"/>
          </rPr>
          <t>Till målresultatet läggs amorteringen på lån för företagsverksamheten, varvid man får nettointäkterna. När skatterna läggs till nettointäkterna, får man finansieringsbehovet. När man till finansieringsbehovet lägger till räntorna på lån för företagsverksamheten, får man det belopp som man genom företagsverksamheten bör förtjäna för att leva och sköta lån för företagsverksamheten.</t>
        </r>
      </text>
    </comment>
    <comment ref="A9" authorId="0" shapeId="0" xr:uid="{5FE58212-3253-B046-96F0-7C333C4E1B6C}">
      <text>
        <r>
          <rPr>
            <b/>
            <sz val="12"/>
            <color rgb="FF000000"/>
            <rFont val="Arial"/>
            <family val="34"/>
          </rPr>
          <t xml:space="preserve">Skatter på inkomst: </t>
        </r>
        <r>
          <rPr>
            <sz val="12"/>
            <color rgb="FF000000"/>
            <rFont val="Arial"/>
            <family val="34"/>
          </rPr>
          <t xml:space="preserve">Till exempel betalar en firmaföretagare med en nettoinkomst på 1 800 € i månaden som företagare cirka 90 € i skatt per månad. Beräknat utan andra inkomster, hör till kyrkan (ev.lut.) och FöPL betalas enligt minsta arbetsinkomst. Se mer detaljer om din skatteprocent </t>
        </r>
        <r>
          <rPr>
            <sz val="12"/>
            <color rgb="FF000000"/>
            <rFont val="Arial"/>
            <family val="34"/>
          </rPr>
          <t xml:space="preserve">med skatteprocenträknaren på skatteförvaltningens webbplats. </t>
        </r>
        <r>
          <rPr>
            <sz val="12"/>
            <color rgb="FF000000"/>
            <rFont val="Arial"/>
            <family val="34"/>
          </rPr>
          <t>Samfundsskatten för ett aktiebolag är alltid 20 procent, och utöver detta betalar företagaren själv skatter på sin förvärvsinkomst, det vill säga sin lön.</t>
        </r>
      </text>
    </comment>
    <comment ref="A13" authorId="0" shapeId="0" xr:uid="{4A33106E-6C11-EE41-A6EB-F69C27FCBFAB}">
      <text>
        <r>
          <rPr>
            <b/>
            <sz val="12"/>
            <color rgb="FF000000"/>
            <rFont val="Arial"/>
            <family val="34"/>
          </rPr>
          <t xml:space="preserve">Fasta kostnader: </t>
        </r>
        <r>
          <rPr>
            <sz val="12"/>
            <color rgb="FF000000"/>
            <rFont val="Arial"/>
            <family val="34"/>
          </rPr>
          <t>Fasta kostnader är utgifter som inte beror på storleken för företagets fakturering, utan fortsätter från en månad till en annan med ungefär samma belopp. Fasta kostnader är exempelvis löner för andra anställda, försäkringar, hyror, kontorskostnader, el/vatten etc.</t>
        </r>
      </text>
    </comment>
    <comment ref="A14" authorId="0" shapeId="0" xr:uid="{E40D53D9-DABB-404A-8C6B-A6756D2A7988}">
      <text>
        <r>
          <rPr>
            <b/>
            <sz val="12"/>
            <color rgb="FF000000"/>
            <rFont val="Arial"/>
            <family val="34"/>
          </rPr>
          <t xml:space="preserve">Företagarens pensionsförsäkring: </t>
        </r>
        <r>
          <rPr>
            <sz val="12"/>
            <color rgb="FF000000"/>
            <rFont val="Arial"/>
            <family val="34"/>
          </rPr>
          <t>Företagarens pensionsförsäkring (FöPL) är obligatorisk och bedöms på basis av företagarens egen FöPL-arbetsinomst. En ny företagare får 22 procent rabatt på de första 48 månaderna. Till exempel, med en årsarbetsinkomst på 14 803 € är den nedsatta FöPL-månadsavgiften för en person under 53 år 232 €/månad. Pensionsförsäkringen för arbetare (ArPL) är obligatorisk när företaget anställer en avlönad arbetstagare.</t>
        </r>
      </text>
    </comment>
    <comment ref="A35" authorId="0" shapeId="0" xr:uid="{A2D46BA1-6B33-9B4E-AB19-09AB5D983417}">
      <text>
        <r>
          <rPr>
            <b/>
            <sz val="12"/>
            <color rgb="FF000000"/>
            <rFont val="Arial"/>
            <family val="34"/>
          </rPr>
          <t xml:space="preserve">Behov av försäljningstäckning: </t>
        </r>
        <r>
          <rPr>
            <sz val="12"/>
            <color rgb="FF000000"/>
            <rFont val="Arial"/>
            <family val="34"/>
          </rPr>
          <t>Genom att räkna ihop finansieringsbehovet för företagsverksamheten, räntorna på företagslån och de fasta kostnaderna, får man behovet av försäljningstäckning.</t>
        </r>
      </text>
    </comment>
    <comment ref="A36" authorId="0" shapeId="0" xr:uid="{0F28E8F9-11F4-5D4B-853F-D48E10484912}">
      <text>
        <r>
          <rPr>
            <b/>
            <sz val="12"/>
            <color rgb="FF000000"/>
            <rFont val="Arial"/>
            <family val="34"/>
          </rPr>
          <t xml:space="preserve">Mervärdesskatt: </t>
        </r>
        <r>
          <rPr>
            <sz val="12"/>
            <color rgb="FF000000"/>
            <rFont val="Arial"/>
            <family val="34"/>
          </rPr>
          <t>Mervärdesskatten beror i viss mån på de produkter eller tjänster som säljs.</t>
        </r>
      </text>
    </comment>
    <comment ref="A37" authorId="0" shapeId="0" xr:uid="{D8451732-BFDD-E044-A8F7-A003F01CBCBC}">
      <text>
        <r>
          <rPr>
            <b/>
            <sz val="12"/>
            <color rgb="FF000000"/>
            <rFont val="Arial"/>
            <family val="34"/>
          </rPr>
          <t xml:space="preserve">Total försäljning/fakturering: </t>
        </r>
        <r>
          <rPr>
            <sz val="12"/>
            <color rgb="FF000000"/>
            <rFont val="Arial"/>
            <family val="34"/>
          </rPr>
          <t>Den totala försäljningen/faktureringen är summan av omsättningen och mervärdesskatten.</t>
        </r>
      </text>
    </comment>
    <comment ref="A38" authorId="0" shapeId="0" xr:uid="{D9F20C8B-DF9C-0840-8120-B2F22796B292}">
      <text>
        <r>
          <rPr>
            <b/>
            <sz val="12"/>
            <color rgb="FF000000"/>
            <rFont val="Arial"/>
            <family val="34"/>
          </rPr>
          <t xml:space="preserve">Behov av försäljningstäckning (minimum): </t>
        </r>
        <r>
          <rPr>
            <sz val="12"/>
            <color rgb="FF000000"/>
            <rFont val="Arial"/>
            <family val="34"/>
          </rPr>
          <t>Med hjälp av detta kan du beräkna företagets behov av fakturering enligt månad, vecka och timme. Observera att företaget inte alltid kan fakturera för hela månader, dagar eller timmar. Bedöm för hur många dagar eller timmar ditt företag kan fakturera sina kunder i månaden.</t>
        </r>
      </text>
    </comment>
    <comment ref="A40" authorId="0" shapeId="0" xr:uid="{71ACEA1A-22DC-BC48-B281-55E3F2E0EB00}">
      <text>
        <r>
          <rPr>
            <b/>
            <sz val="12"/>
            <color rgb="FF000000"/>
            <rFont val="Arial"/>
            <family val="34"/>
          </rPr>
          <t>Behov av månatlig täckning:</t>
        </r>
        <r>
          <rPr>
            <b/>
            <sz val="12"/>
            <color rgb="FF000000"/>
            <rFont val="Arial"/>
            <family val="34"/>
          </rPr>
          <t xml:space="preserve"> </t>
        </r>
        <r>
          <rPr>
            <sz val="12"/>
            <color rgb="FF000000"/>
            <rFont val="Arial"/>
            <family val="34"/>
          </rPr>
          <t>Täckningsbehovet per månad överförs automatiskt till tabellen "sammandrag av försäljningen" i försäljningskalkylen per månad.</t>
        </r>
      </text>
    </comment>
    <comment ref="A43" authorId="0" shapeId="0" xr:uid="{63E0639B-D95F-1F4B-8583-84EB0F10329E}">
      <text>
        <r>
          <rPr>
            <b/>
            <sz val="12"/>
            <color rgb="FF000000"/>
            <rFont val="Arial"/>
            <family val="34"/>
          </rPr>
          <t xml:space="preserve">Tillväxtprocent för tre år: </t>
        </r>
        <r>
          <rPr>
            <sz val="12"/>
            <color rgb="FF000000"/>
            <rFont val="Arial"/>
            <family val="34"/>
          </rPr>
          <t>Du kan ändra tillväxtprocentsiffrorna för inkomster och utgifter.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22" authorId="0" shapeId="0" xr:uid="{64A76B62-9FC6-9B47-A8AA-CF4EC2B799E1}">
      <text>
        <r>
          <rPr>
            <b/>
            <sz val="12"/>
            <color rgb="FF000000"/>
            <rFont val="Arial"/>
            <family val="34"/>
          </rPr>
          <t xml:space="preserve">Lönsamhetskalkylens behov av försäljningstäckning: </t>
        </r>
        <r>
          <rPr>
            <sz val="12"/>
            <color rgb="FF000000"/>
            <rFont val="Calibri"/>
            <family val="2"/>
            <scheme val="minor"/>
          </rPr>
          <t>Behovet av försäljningstäckning per månad i lönsamhetskalkylen</t>
        </r>
        <r>
          <rPr>
            <sz val="12"/>
            <color rgb="FF000000"/>
            <rFont val="Calibri"/>
            <family val="2"/>
            <scheme val="minor"/>
          </rPr>
          <t xml:space="preserve"> har överförts automatiskt från fliken “</t>
        </r>
        <r>
          <rPr>
            <sz val="12"/>
            <color rgb="FF000000"/>
            <rFont val="Calibri"/>
            <family val="2"/>
            <scheme val="minor"/>
          </rPr>
          <t>Lönsamhetskalkyl”.</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21" authorId="0" shapeId="0" xr:uid="{BF9B54E1-7967-AC41-9390-C426FAF24D45}">
      <text>
        <r>
          <rPr>
            <b/>
            <sz val="12"/>
            <color rgb="FF000000"/>
            <rFont val="Arial"/>
            <family val="34"/>
          </rPr>
          <t>Mervärdesskatt:</t>
        </r>
        <r>
          <rPr>
            <sz val="12"/>
            <color rgb="FF000000"/>
            <rFont val="Arial"/>
            <family val="34"/>
          </rPr>
          <t xml:space="preserve">
</t>
        </r>
        <r>
          <rPr>
            <b/>
            <sz val="12"/>
            <color rgb="FF000000"/>
            <rFont val="Arial"/>
            <family val="34"/>
          </rPr>
          <t>Negativt tal = retur av moms från skatteverket.</t>
        </r>
        <r>
          <rPr>
            <sz val="12"/>
            <color rgb="FF000000"/>
            <rFont val="Arial"/>
            <family val="34"/>
          </rPr>
          <t xml:space="preserve">
</t>
        </r>
        <r>
          <rPr>
            <b/>
            <sz val="12"/>
            <color rgb="FF000000"/>
            <rFont val="Arial"/>
            <family val="34"/>
          </rPr>
          <t>Positivt tal = moms som ska betalas till skatteverket.</t>
        </r>
        <r>
          <rPr>
            <sz val="12"/>
            <color rgb="FF000000"/>
            <rFont val="Arial"/>
            <family val="34"/>
          </rPr>
          <t xml:space="preserve">
</t>
        </r>
        <r>
          <rPr>
            <sz val="12"/>
            <color rgb="FF000000"/>
            <rFont val="Arial"/>
            <family val="34"/>
          </rPr>
          <t>Deklarations- och betalningsdagen för mervärdesskatt (moms) är den 12:e dagen i den månad som är den andra månaden efter skatteperiodens slut. Därmed betalas exempelvis moms för januari senast den 12 mars. OBS! Denna kalkyl har förenklats vad gäller mervärdesskatt. Även momsen på andra kostnader för förvärvande av inkomst (än inköp) kan dras av i mervärdesbeskattningen.</t>
        </r>
      </text>
    </comment>
    <comment ref="N42" authorId="0" shapeId="0" xr:uid="{937EFA96-BBD6-634E-80FA-CFA4AC037CC1}">
      <text>
        <r>
          <rPr>
            <b/>
            <sz val="12"/>
            <color rgb="FF000000"/>
            <rFont val="Arial"/>
            <family val="34"/>
          </rPr>
          <t>Betalningsberedskap avsnitt 12</t>
        </r>
        <r>
          <rPr>
            <sz val="12"/>
            <color rgb="FF000000"/>
            <rFont val="Arial"/>
            <family val="34"/>
          </rPr>
          <t>: Överförs automatiskt till period 1 i tabellen startkassa för andra året.</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B9" authorId="0" shapeId="0" xr:uid="{3E7D9BB1-3576-0C47-848D-6A5C8E1C1A04}">
      <text>
        <r>
          <rPr>
            <b/>
            <sz val="12"/>
            <color rgb="FF000000"/>
            <rFont val="Arial"/>
            <family val="34"/>
          </rPr>
          <t xml:space="preserve">Betalningsberedskap för föregående period: </t>
        </r>
        <r>
          <rPr>
            <sz val="12"/>
            <color rgb="FF000000"/>
            <rFont val="Arial"/>
            <family val="34"/>
          </rPr>
          <t>Siffran för den första perioden har överförts automatiskt från period 12 i tabellen betalningsberedskap för det första året.</t>
        </r>
      </text>
    </comment>
    <comment ref="A21" authorId="0" shapeId="0" xr:uid="{083FF6AC-3B59-F14A-8C7A-9FD26007A62E}">
      <text>
        <r>
          <rPr>
            <b/>
            <sz val="12"/>
            <color rgb="FF000000"/>
            <rFont val="Arial"/>
            <family val="34"/>
          </rPr>
          <t>Mervärdesskatt:</t>
        </r>
        <r>
          <rPr>
            <sz val="12"/>
            <color rgb="FF000000"/>
            <rFont val="Arial"/>
            <family val="34"/>
          </rPr>
          <t xml:space="preserve">
</t>
        </r>
        <r>
          <rPr>
            <b/>
            <sz val="12"/>
            <color rgb="FF000000"/>
            <rFont val="Arial"/>
            <family val="34"/>
          </rPr>
          <t>Negativt tal = retur av moms från skatteverket.</t>
        </r>
        <r>
          <rPr>
            <sz val="12"/>
            <color rgb="FF000000"/>
            <rFont val="Arial"/>
            <family val="34"/>
          </rPr>
          <t xml:space="preserve">
</t>
        </r>
        <r>
          <rPr>
            <b/>
            <sz val="12"/>
            <color rgb="FF000000"/>
            <rFont val="Arial"/>
            <family val="34"/>
          </rPr>
          <t>Positivt tal = moms som ska betalas till skatteverket.</t>
        </r>
        <r>
          <rPr>
            <sz val="12"/>
            <color rgb="FF000000"/>
            <rFont val="Arial"/>
            <family val="34"/>
          </rPr>
          <t xml:space="preserve">
</t>
        </r>
        <r>
          <rPr>
            <sz val="12"/>
            <color rgb="FF000000"/>
            <rFont val="Arial"/>
            <family val="34"/>
          </rPr>
          <t>Deklarations- och betalningsdagen för mervärdesskatt (moms) är den 12:e dagen i den månad som är den andra månaden efter skatteperiodens slut. Därmed betalas exempelvis moms för januari senast den 12 mars. OBS! Denna kalkyl har förenklats vad gäller mervärdesskatt. Även momsen på andra kostnader för förvärvande av inkomst (än inköp) kan dras av i mervärdesbeskattningen.</t>
        </r>
      </text>
    </comment>
    <comment ref="B21" authorId="0" shapeId="0" xr:uid="{008A3B0B-ED1C-D548-B03B-9B0BB9BCC424}">
      <text>
        <r>
          <rPr>
            <b/>
            <sz val="12"/>
            <color rgb="FF000000"/>
            <rFont val="Arial"/>
            <family val="34"/>
          </rPr>
          <t xml:space="preserve">Mervärdesskatt att betala: </t>
        </r>
        <r>
          <rPr>
            <sz val="12"/>
            <color rgb="FF000000"/>
            <rFont val="Arial"/>
            <family val="34"/>
          </rPr>
          <t>Siffran för den första perioden har överförts automatiskt från den näst sista perioden för det första året.</t>
        </r>
      </text>
    </comment>
    <comment ref="C21" authorId="0" shapeId="0" xr:uid="{2EC23AE9-647D-2047-B07D-97BF290F6D5C}">
      <text>
        <r>
          <rPr>
            <b/>
            <sz val="12"/>
            <color rgb="FF000000"/>
            <rFont val="Arial"/>
            <family val="34"/>
          </rPr>
          <t xml:space="preserve">Mervärdesskatt att betala: </t>
        </r>
        <r>
          <rPr>
            <sz val="12"/>
            <color rgb="FF000000"/>
            <rFont val="Arial"/>
            <family val="34"/>
          </rPr>
          <t>Siffran för den andra perioden har överförts automatiskt från den sista perioden för det första året.</t>
        </r>
      </text>
    </comment>
    <comment ref="M42" authorId="0" shapeId="0" xr:uid="{FEA5CB39-3A54-C74E-B8C8-EFAA2E6255C1}">
      <text>
        <r>
          <rPr>
            <b/>
            <sz val="12"/>
            <color rgb="FF000000"/>
            <rFont val="Arial"/>
            <family val="34"/>
          </rPr>
          <t>Betalningsberedskap avsnitt 12</t>
        </r>
        <r>
          <rPr>
            <sz val="12"/>
            <color rgb="FF000000"/>
            <rFont val="Arial"/>
            <family val="34"/>
          </rPr>
          <t>: Överförs automatiskt till period 1 i tabellen startkassa för det tredje året.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B9" authorId="0" shapeId="0" xr:uid="{FE4C5E22-11B9-E043-AA6F-C19A7888107C}">
      <text>
        <r>
          <rPr>
            <b/>
            <sz val="12"/>
            <color rgb="FF000000"/>
            <rFont val="Arial"/>
            <family val="34"/>
          </rPr>
          <t xml:space="preserve">Betalningsberedskap för föregående period: </t>
        </r>
        <r>
          <rPr>
            <sz val="12"/>
            <color rgb="FF000000"/>
            <rFont val="Arial"/>
            <family val="34"/>
          </rPr>
          <t>Siffran för den första perioden har överförts automatiskt från period 12 i tabellen betalningsberedskap för det andra året.</t>
        </r>
      </text>
    </comment>
    <comment ref="A21" authorId="0" shapeId="0" xr:uid="{F142A068-FE62-E140-BB91-B8166D99212F}">
      <text>
        <r>
          <rPr>
            <b/>
            <sz val="12"/>
            <color rgb="FF000000"/>
            <rFont val="Arial"/>
            <family val="34"/>
          </rPr>
          <t>Mervärdesskatt:</t>
        </r>
        <r>
          <rPr>
            <sz val="12"/>
            <color rgb="FF000000"/>
            <rFont val="Arial"/>
            <family val="34"/>
          </rPr>
          <t xml:space="preserve">
</t>
        </r>
        <r>
          <rPr>
            <b/>
            <sz val="12"/>
            <color rgb="FF000000"/>
            <rFont val="Arial"/>
            <family val="34"/>
          </rPr>
          <t>Negativt tal = retur av moms från skatteverket.</t>
        </r>
        <r>
          <rPr>
            <sz val="12"/>
            <color rgb="FF000000"/>
            <rFont val="Arial"/>
            <family val="34"/>
          </rPr>
          <t xml:space="preserve">
</t>
        </r>
        <r>
          <rPr>
            <b/>
            <sz val="12"/>
            <color rgb="FF000000"/>
            <rFont val="Arial"/>
            <family val="34"/>
          </rPr>
          <t>Positivt tal = moms som ska betalas till skatteverket.</t>
        </r>
        <r>
          <rPr>
            <sz val="12"/>
            <color rgb="FF000000"/>
            <rFont val="Arial"/>
            <family val="34"/>
          </rPr>
          <t xml:space="preserve">
</t>
        </r>
        <r>
          <rPr>
            <sz val="12"/>
            <color rgb="FF000000"/>
            <rFont val="Arial"/>
            <family val="34"/>
          </rPr>
          <t>Deklarations- och betalningsdagen för mervärdesskatt (moms) är den 12:e dagen i den månad som är den andra månaden efter skatteperiodens slut. Därmed betalas exempelvis moms för januari senast den 12 mars. OBS! Denna kalkyl har förenklats vad gäller mervärdesskatt. Även momsen på andra kostnader för förvärvande av inkomst (än inköp) kan dras av i mervärdesbeskattningen.</t>
        </r>
      </text>
    </comment>
    <comment ref="B21" authorId="0" shapeId="0" xr:uid="{5429B48C-F9D8-F24D-8FC8-1A3DB5C0E296}">
      <text>
        <r>
          <rPr>
            <b/>
            <sz val="12"/>
            <color rgb="FF000000"/>
            <rFont val="Arial"/>
            <family val="34"/>
          </rPr>
          <t xml:space="preserve">Mervärdesskatt att betala: </t>
        </r>
        <r>
          <rPr>
            <sz val="12"/>
            <color rgb="FF000000"/>
            <rFont val="Arial"/>
            <family val="34"/>
          </rPr>
          <t>Siffran för den första perioden har överförts automatiskt från den näst sista perioden för det andra året.</t>
        </r>
      </text>
    </comment>
    <comment ref="C21" authorId="0" shapeId="0" xr:uid="{24A914B0-D57D-A144-8422-1F463469675E}">
      <text>
        <r>
          <rPr>
            <b/>
            <sz val="12"/>
            <color rgb="FF000000"/>
            <rFont val="Arial"/>
            <family val="34"/>
          </rPr>
          <t xml:space="preserve">Mervärdesskatt att betala: </t>
        </r>
        <r>
          <rPr>
            <sz val="12"/>
            <color rgb="FF000000"/>
            <rFont val="Arial"/>
            <family val="34"/>
          </rPr>
          <t>Siffran för den andra perioden har överförts automatiskt från den sista perioden för det andra året.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<sst xmlns="http://schemas.openxmlformats.org/spreadsheetml/2006/main" count="1629" uniqueCount="274">
  <si>
    <t>€</t>
  </si>
  <si>
    <t>Finnvera</t>
  </si>
  <si>
    <t>.</t>
  </si>
  <si>
    <t>© Copyright Business Helsinki</t>
  </si>
  <si>
    <t>Empty cell</t>
  </si>
  <si>
    <t>Right edge of the monthly sales calculation tab.</t>
  </si>
  <si>
    <t>End of the monthly sales calculation tab.</t>
  </si>
  <si>
    <t>Period 1</t>
  </si>
  <si>
    <t>Period 2</t>
  </si>
  <si>
    <t>Period 3</t>
  </si>
  <si>
    <t>Period 4</t>
  </si>
  <si>
    <t>Period 5</t>
  </si>
  <si>
    <t>Period 6</t>
  </si>
  <si>
    <t>Period 7</t>
  </si>
  <si>
    <t>Period 8</t>
  </si>
  <si>
    <t>Period 9</t>
  </si>
  <si>
    <t>Period 10</t>
  </si>
  <si>
    <t>Period 11</t>
  </si>
  <si>
    <t>Period 12</t>
  </si>
  <si>
    <t>Right edge of the cash flow calculation for the third year tab.</t>
  </si>
  <si>
    <t>End of the cash flow calculation for the third year tab.</t>
  </si>
  <si>
    <t>Fliken Finansieringskalkyl. På denna flik kan du bedöma behovet av pengar och penningkällorna, så att du vet om det är möjligt att inleda företagsverksamheten. Längst ner på fliken hittar du “Anvisningar för finansieringskalkyl”, som innehåller mer detaljerade anvisningar för att fylla i vissa celler. Anvisningar finns också i anteckningarna för cellerna. Du kan namnge ditt företag i cellen “Företagets namn”. På denna flik finns 3 tabeller: Tabellen “Behov av pengar”, tabellen “Penningkällor”, och tabellen “Differens mellan penningkällor och behoven av pengar”. Fyll i tabellen “Behov av pengar” och tabellen “Penningkällor”. Tabellen “Differens mellan penningkällor och behoven av pengar” fylls i automatiskt.</t>
  </si>
  <si>
    <t>Finansieringskalkyl för företagsverksamhet</t>
  </si>
  <si>
    <r>
      <t xml:space="preserve">Denna blankett hjälper dig att utreda vad det kostar att inleda din företagsverksamhet (behov av pengar), samt att planera hur du ämnar finansiera verksamheten (penningkällor).
</t>
    </r>
    <r>
      <rPr>
        <b/>
        <sz val="14"/>
        <color theme="1"/>
        <rFont val="Arial"/>
        <family val="2"/>
      </rPr>
      <t>Du hittar mer detaljerade anvisningar för ifyllning längst ner på fliken och i anteckningarna.</t>
    </r>
  </si>
  <si>
    <t>Företagets namn (fyll i nedan):</t>
  </si>
  <si>
    <t>Företag</t>
  </si>
  <si>
    <t>● Vilka är viktiga och förnuftiga anskaffningar för din företagsverksamhet?</t>
  </si>
  <si>
    <t>● Hur mycket rörelsekapital behöver du för att klara av de första månaderna?</t>
  </si>
  <si>
    <t>● Hur mycket av dina egna pengar och/eller arbetsredskap kan du investera i ditt företag?</t>
  </si>
  <si>
    <t>● Hur mycket lån behöver du, var kommer du att skaffa det och vad kostar det samt behöver du säkerheter?</t>
  </si>
  <si>
    <t>Behov av pengar (innan du inleder företagsverksamheten)</t>
  </si>
  <si>
    <t>Kommentar</t>
  </si>
  <si>
    <t>Investeringar</t>
  </si>
  <si>
    <t>Köpesumman om du köper affärsverksamhet</t>
  </si>
  <si>
    <t>Utgifter för grundande/registrering av företaget</t>
  </si>
  <si>
    <t>Arbetsredskap och informationsteknik</t>
  </si>
  <si>
    <t>Värdet på arbetsredskap som du redan har</t>
  </si>
  <si>
    <t>Telefon etc.</t>
  </si>
  <si>
    <t>Bil</t>
  </si>
  <si>
    <t>Möbler</t>
  </si>
  <si>
    <t>Renovering</t>
  </si>
  <si>
    <t>Kontor el.dyl. Små tillbehör</t>
  </si>
  <si>
    <t>Installationer, övriga köptjänster</t>
  </si>
  <si>
    <t>Webbplats, marknadsföring, broschyrer (inkl. SEO, etc.)</t>
  </si>
  <si>
    <t>Eventuella andra investeringar - vilka 1</t>
  </si>
  <si>
    <t>Eventuella andra investeringar - vilka 2</t>
  </si>
  <si>
    <t>Rörelsekapital 1–3 mån.</t>
  </si>
  <si>
    <t>Hyra för lokaler / hyressäkerheter</t>
  </si>
  <si>
    <t>Hyra/leasing för utrustning</t>
  </si>
  <si>
    <t>Företagarens egen utkomst</t>
  </si>
  <si>
    <t>Löner för anställda</t>
  </si>
  <si>
    <t>Andra extraordinära rörelsekapitalutgifter</t>
  </si>
  <si>
    <t>Omsättningstillgångar och finansiella tillgångar</t>
  </si>
  <si>
    <t>Ingående lager</t>
  </si>
  <si>
    <t>Kassa</t>
  </si>
  <si>
    <t>Andra omsättningstillgångar och finansiella tillgångar</t>
  </si>
  <si>
    <t>Behovet av pengar totalt</t>
  </si>
  <si>
    <t>Penningkällor (hur ordnar du den inledande finansieringen?)</t>
  </si>
  <si>
    <t>Eget kapital</t>
  </si>
  <si>
    <t>Färdiga arbetsredskap</t>
  </si>
  <si>
    <t>Egna investeringar i företaget</t>
  </si>
  <si>
    <t>Aktiekapital</t>
  </si>
  <si>
    <t>Annat kapital</t>
  </si>
  <si>
    <t>Lånekapital</t>
  </si>
  <si>
    <t>Banklån</t>
  </si>
  <si>
    <t>Aktieägarlån</t>
  </si>
  <si>
    <t>Andra lån (exempelvis lån av närstående)</t>
  </si>
  <si>
    <t>Annat (exempelvis kreditkortslimit etc.)</t>
  </si>
  <si>
    <t>Annat lånekapital</t>
  </si>
  <si>
    <t>Penningkällor totalt</t>
  </si>
  <si>
    <t>Differensen mellan penningkällor och behovet av pengar</t>
  </si>
  <si>
    <t>Är behovet av pengar lika stort som penningkällan?</t>
  </si>
  <si>
    <t>För att inleda företagsverksamhet ska penningkällorna vara lika stora som behovet av pengar</t>
  </si>
  <si>
    <t>Anvisningar för finansieringskalkylen:</t>
  </si>
  <si>
    <r>
      <rPr>
        <b/>
        <sz val="14"/>
        <color theme="1"/>
        <rFont val="Arial"/>
        <family val="2"/>
      </rPr>
      <t xml:space="preserve">Färdiga arbetsredskap: </t>
    </r>
    <r>
      <rPr>
        <sz val="14"/>
        <color theme="1"/>
        <rFont val="Arial"/>
        <family val="2"/>
      </rPr>
      <t>Skriv här in det uppskattade värdet på eventuella existerade arbetsredskap för din affärsverksamhet. Kalkylen överför automatiskt deras värde även till tabellen “Penningkällor” vid punkten “Egna arbetsredskap”.</t>
    </r>
  </si>
  <si>
    <r>
      <rPr>
        <b/>
        <sz val="14"/>
        <color theme="1"/>
        <rFont val="Arial"/>
        <family val="2"/>
      </rPr>
      <t xml:space="preserve">Hyra för lokaler / hyressäkerheter: </t>
    </r>
    <r>
      <rPr>
        <sz val="14"/>
        <color theme="1"/>
        <rFont val="Arial"/>
        <family val="2"/>
      </rPr>
      <t>Om du uppskattar att det kommer att ta 3 månader innan du genom intern finansiering (pengar från kunder) kan betala för hyran, och du är tvungen att betala en hyressäkerhet på 3 månader, ska du här skriva in din månadshyra x 6.</t>
    </r>
  </si>
  <si>
    <r>
      <rPr>
        <b/>
        <sz val="14"/>
        <color theme="1"/>
        <rFont val="Arial"/>
        <family val="2"/>
      </rPr>
      <t xml:space="preserve">Företagarens egen utkomst: </t>
    </r>
    <r>
      <rPr>
        <sz val="14"/>
        <color theme="1"/>
        <rFont val="Arial"/>
        <family val="2"/>
      </rPr>
      <t>Hur mycket behöver du i månaden för dina egna obligatoriska utgifter? Multiplicera detta belopp med antalet månader fram till att du uppskattar att verksamheten börjar producera utkomst för dig.</t>
    </r>
  </si>
  <si>
    <r>
      <rPr>
        <b/>
        <sz val="14"/>
        <color theme="1"/>
        <rFont val="Arial"/>
        <family val="2"/>
      </rPr>
      <t>Differensen mellan penningkällor och behovet av pengar:</t>
    </r>
    <r>
      <rPr>
        <sz val="14"/>
        <color theme="1"/>
        <rFont val="Arial"/>
        <family val="2"/>
      </rPr>
      <t xml:space="preserve"> Finansieringskalkylen har gjorts korrekt, då behovet av pengar är lika med penningkällorna. Om du får ett resultat med minustecken som differens, ska du öka summan för penningkällorna, så att den motsvarar behovet av pengar.</t>
    </r>
  </si>
  <si>
    <t>Tom cell</t>
  </si>
  <si>
    <t>Fliken Lönsamhetskalkyl. På denna flik kan du skriva in målresultaten och de fasta kostnaderna för att utreda minimiomsättningen. Längst ner på fliken hittar du “Anvisningar för lönsamhetskalkyl”, som innehåller mer detaljerade anvisningar för att fylla i vissa celler. Anvisningar finns också i anteckningarna för cellerna. Du kan räkna ut din skatteprocent mer i detalj med skatteprocenträknaren på skatteförvaltningens webbplats. På denna flik finns 6 tabeller: Tabellen “Målresultat”, tabellen “Företagsverksamhetens fasta kostnader”, tabellen “Behov av försäljningstäckning (minimum)”, tabellen “Tre års tillväxtprocent”, och tabellen “Tre års resultaträkning”.  Fyll i de tomma cellerna i kolumnen “I månaden” i tabellerna “Målresultat” och “Företagets fasta kostnader”, resten av cellerna fylls i på basis av dessa. Tabellen “Faktureringsmål” fylls i automatiskt. Fyll i eller ändra tabellen “Tre års tillväxtprocent”, och i tabellen “Tre års resultaträkning” fyll i raden “Avskrivningar” och “Extraordinära intäkter/utgifter”, resten av raderna fylls i automatiskt.</t>
  </si>
  <si>
    <t>Lönsamhetskalkyl / s.k. Nollresultatkalkyl</t>
  </si>
  <si>
    <r>
      <t xml:space="preserve">Med hjälp av lönsamhetskalkylen kan du gestalta vilken omsättning du bör eftersträva som minimum. Fyll i lönsamhetskalkylen med eftertanke. Den är ett viktigt verktyg då du planerar företaget och dess verksamhet.
</t>
    </r>
    <r>
      <rPr>
        <b/>
        <sz val="14"/>
        <color theme="1"/>
        <rFont val="Arial"/>
        <family val="2"/>
      </rPr>
      <t>Du hittar mer detaljerade anvisningar för ifyllning längst ner på fliken och i anteckningarna.</t>
    </r>
  </si>
  <si>
    <t>Klicka här för att räkna ut din skatteprocent med skatteprocenträknaren på skatteförvaltningens webbplats.</t>
  </si>
  <si>
    <t>Målresultat</t>
  </si>
  <si>
    <t>I månaden</t>
  </si>
  <si>
    <t>I året (12 mån.)</t>
  </si>
  <si>
    <t>Nettoinkomst för firmaföretagare eller resultat för aktiebolag</t>
  </si>
  <si>
    <t>Amortering på företagslån</t>
  </si>
  <si>
    <t>Nettoinkomster (målresultat + amortering på företagslån)</t>
  </si>
  <si>
    <t>Skatter på inkomst för firmaföretagare eller resultat för aktiebolag</t>
  </si>
  <si>
    <t>Finansieringsbehov, det vill säga egen bruttoinkomst (nettoinkomst + skatter på egen inkomst)</t>
  </si>
  <si>
    <t>Räntor på företagslån</t>
  </si>
  <si>
    <t>Finansieringsbehov och räntor på företagslån totalt</t>
  </si>
  <si>
    <t>Företagsverksamhetens fasta kostnader (utan mervärdesskatt)</t>
  </si>
  <si>
    <t>Företagarens pensionsförsäkring (FöPL)</t>
  </si>
  <si>
    <t>Andra försäkringar</t>
  </si>
  <si>
    <t>Löner för egna anställda</t>
  </si>
  <si>
    <t>Lönekostnadspåslag (ca 40 %)</t>
  </si>
  <si>
    <t>Företagarens egen lön (gäller inte firma)</t>
  </si>
  <si>
    <t>Hyror och el</t>
  </si>
  <si>
    <t>Leasingavgifter o.dy. Delbetalningar</t>
  </si>
  <si>
    <t>Marknadsföring</t>
  </si>
  <si>
    <t>Telefon, internet</t>
  </si>
  <si>
    <t>Rese-/bilkostnader</t>
  </si>
  <si>
    <t>Bokföring</t>
  </si>
  <si>
    <t>Kontorsavgifter</t>
  </si>
  <si>
    <t>Utbildning</t>
  </si>
  <si>
    <t>Tidningar etc.</t>
  </si>
  <si>
    <t>Reparationer</t>
  </si>
  <si>
    <t>Avgift till företagarens arbetslöshetskassa</t>
  </si>
  <si>
    <t>Andra eventuella kostnader 1 (till exempel köptjänster)</t>
  </si>
  <si>
    <t>Andra eventuella kostnader 2</t>
  </si>
  <si>
    <t>Andra eventuella kostnader 3</t>
  </si>
  <si>
    <t>Fasta kostnader totalt</t>
  </si>
  <si>
    <t>Behov av försäljningstäckning (målresultat och fasta kostnader totalt)</t>
  </si>
  <si>
    <t>Behov av försäljningstäckning (finansieringsbehov + räntor på företagslån + fasta kostnader)</t>
  </si>
  <si>
    <t>Mervärdesskatt (standard 25,5 procent)</t>
  </si>
  <si>
    <t>Total försäljning/fakturering (behov av försäljningstäckning + mervärdesskatt)</t>
  </si>
  <si>
    <t>Behov av försäljningstäckning (minimum)</t>
  </si>
  <si>
    <t>Skattefritt i året</t>
  </si>
  <si>
    <t>Innehåller mervärdesskatt</t>
  </si>
  <si>
    <t>Totalt</t>
  </si>
  <si>
    <t>Behov av månatlig täckning, €/mån. (till exempel 11 mån./år)</t>
  </si>
  <si>
    <t>Behov av daglig täckning, €/dag. (till exempel 20 dagar/mån.)</t>
  </si>
  <si>
    <t>Behov av timvis täckning, €/h (till exempel 8 h/dag)</t>
  </si>
  <si>
    <t>år 1</t>
  </si>
  <si>
    <t>år 2</t>
  </si>
  <si>
    <t>år 3</t>
  </si>
  <si>
    <t>år +1</t>
  </si>
  <si>
    <t>år +2</t>
  </si>
  <si>
    <t>år +3</t>
  </si>
  <si>
    <t>Tillväxtprocent för tre år</t>
  </si>
  <si>
    <t>Ökning av inkomster (%)</t>
  </si>
  <si>
    <t>Ökning av utgifter (%)</t>
  </si>
  <si>
    <t>Fylls inte i</t>
  </si>
  <si>
    <t>Tre års resultaträkning</t>
  </si>
  <si>
    <t>Försäljningsvinster</t>
  </si>
  <si>
    <t>Mervärdesskatt</t>
  </si>
  <si>
    <t>Omsättning</t>
  </si>
  <si>
    <t>Personalkostnader</t>
  </si>
  <si>
    <t>Hyror</t>
  </si>
  <si>
    <t>Affärsverksamhetens övriga kostnader</t>
  </si>
  <si>
    <t>Rörelseresultat före avskrivningar</t>
  </si>
  <si>
    <t>Finansieringsutgifter</t>
  </si>
  <si>
    <t>Skatter</t>
  </si>
  <si>
    <t>Finansieringsresultat</t>
  </si>
  <si>
    <t>Avskrivningar</t>
  </si>
  <si>
    <t>Nettoresultat</t>
  </si>
  <si>
    <t>Extraordinära intäkter/utgifter</t>
  </si>
  <si>
    <t>Totalt resultat</t>
  </si>
  <si>
    <t>Anvisningar för lönsamhetskalkylen:</t>
  </si>
  <si>
    <r>
      <rPr>
        <b/>
        <sz val="14"/>
        <color theme="1"/>
        <rFont val="Arial"/>
        <family val="2"/>
      </rPr>
      <t xml:space="preserve">Nettoinkomst för firmaföretagare eller resultat för aktiebolag: </t>
    </r>
    <r>
      <rPr>
        <sz val="14"/>
        <color theme="1"/>
        <rFont val="Arial"/>
        <family val="2"/>
      </rPr>
      <t>Med målresultat avses nettointäktsbehovet för företagarens egen företagsverksamhet. Du får det genom att bedöma hur mycket pengar du behöver i månaden för dina personliga utgifter (boende, mat, kläder etc.). Du kan också bedöma målresultatet med hjälp av den lön du får i ett anställningsförhållande. För aktiebolag kommer bruttolönen på rad 17.</t>
    </r>
  </si>
  <si>
    <r>
      <rPr>
        <b/>
        <sz val="14"/>
        <color theme="1"/>
        <rFont val="Arial"/>
        <family val="2"/>
      </rPr>
      <t xml:space="preserve">Nettointäkter: </t>
    </r>
    <r>
      <rPr>
        <sz val="14"/>
        <color theme="1"/>
        <rFont val="Arial"/>
        <family val="2"/>
      </rPr>
      <t>Till målresultatet läggs amorteringen på lån för företagsverksamheten, varvid man får nettointäkterna. När skatterna läggs till nettointäkterna, får man finansieringsbehovet. När man till finansieringsbehovet lägger till räntorna på lån för företagsverksamheten, får man det belopp som man genom företagsverksamheten bör förtjäna för att leva och sköta lån för företagsverksamheten.</t>
    </r>
  </si>
  <si>
    <r>
      <rPr>
        <b/>
        <sz val="14"/>
        <color theme="1"/>
        <rFont val="Arial"/>
        <family val="2"/>
      </rPr>
      <t>Skatter på inkomst:</t>
    </r>
    <r>
      <rPr>
        <sz val="14"/>
        <color theme="1"/>
        <rFont val="Arial"/>
        <family val="2"/>
      </rPr>
      <t xml:space="preserve"> Till exempel betalar en firmaföretagare med en nettoinkomst på 1 800 € i månaden som företagare cirka 90 € i skatt per månad. Beräknat utan andra inkomster, hör till kyrkan (ev.lut.) och FöPL betalas enligt minsta arbetsinkomst. Se mer detaljer om din skatteprocent med skatteprocenträknaren på skatteförvaltningens webbplats. Samfundsskatten för ett aktiebolag är alltid 20 procent, och utöver detta betalar företagaren själv skatter på sin förvärvsinkomst, det vill säga sin lön.</t>
    </r>
  </si>
  <si>
    <r>
      <rPr>
        <b/>
        <sz val="14"/>
        <color theme="1"/>
        <rFont val="Arial"/>
        <family val="2"/>
      </rPr>
      <t xml:space="preserve">Fasta kostnader: </t>
    </r>
    <r>
      <rPr>
        <sz val="14"/>
        <color theme="1"/>
        <rFont val="Arial"/>
        <family val="2"/>
      </rPr>
      <t>Fasta kostnader är utgifter som inte beror på storleken för företagets fakturering, utan fortsätter från en månad till en annan med ungefär samma belopp. Fasta kostnader är exempelvis löner för andra anställda, försäkringar, hyror, kontorskostnader, el/vatten etc.</t>
    </r>
  </si>
  <si>
    <r>
      <rPr>
        <b/>
        <sz val="14"/>
        <color theme="1"/>
        <rFont val="Arial"/>
        <family val="2"/>
      </rPr>
      <t xml:space="preserve">Behov av försäljningstäckning: </t>
    </r>
    <r>
      <rPr>
        <sz val="14"/>
        <color theme="1"/>
        <rFont val="Arial"/>
        <family val="2"/>
      </rPr>
      <t>Genom att räkna ihop finansieringsbehovet för företagsverksamheten, räntorna på företagslån och de fasta kostnaderna, får man behovet av försäljningstäckning.</t>
    </r>
  </si>
  <si>
    <r>
      <rPr>
        <b/>
        <sz val="14"/>
        <color theme="1"/>
        <rFont val="Arial"/>
        <family val="2"/>
      </rPr>
      <t xml:space="preserve">Mervärdesskatt: </t>
    </r>
    <r>
      <rPr>
        <sz val="14"/>
        <color theme="1"/>
        <rFont val="Arial"/>
        <family val="2"/>
      </rPr>
      <t>Mervärdesskatten beror i viss mån på de produkter eller tjänster som säljs.</t>
    </r>
  </si>
  <si>
    <r>
      <rPr>
        <b/>
        <sz val="14"/>
        <color theme="1"/>
        <rFont val="Arial"/>
        <family val="2"/>
      </rPr>
      <t xml:space="preserve">Total försäljning/fakturering: </t>
    </r>
    <r>
      <rPr>
        <sz val="14"/>
        <color theme="1"/>
        <rFont val="Arial"/>
        <family val="2"/>
      </rPr>
      <t>Den totala försäljningen/faktureringen är summan av omsättningen och mervärdesskatten.</t>
    </r>
  </si>
  <si>
    <r>
      <rPr>
        <b/>
        <sz val="14"/>
        <color theme="1"/>
        <rFont val="Arial"/>
        <family val="2"/>
      </rPr>
      <t xml:space="preserve">Behov av försäljningstäckning (minimum): </t>
    </r>
    <r>
      <rPr>
        <sz val="14"/>
        <color theme="1"/>
        <rFont val="Arial"/>
        <family val="2"/>
      </rPr>
      <t>Med hjälp av denna kan du beräkna företagets behov av fakturering enligt månad, vecka och timme. Observera att företaget inte alltid kan fakturera för hela månader, dagar eller timmar. Bedöm för hur många dagar eller timmar ditt företag kan fakturera sina kunder i månaden.</t>
    </r>
  </si>
  <si>
    <r>
      <t xml:space="preserve">Tillväxtprocent för tre år: </t>
    </r>
    <r>
      <rPr>
        <sz val="14"/>
        <color theme="1"/>
        <rFont val="Arial"/>
        <family val="2"/>
      </rPr>
      <t>Du kan ändra tillväxtprocentsiffrorna för inkomster och utgifter.</t>
    </r>
  </si>
  <si>
    <t>Fliken Lönsamhetskalkyl, höger kant.</t>
  </si>
  <si>
    <t>Fliken Lönsamhetskalkyl slut.</t>
  </si>
  <si>
    <t>Fliken Finansieringskalkyl, höger kant.</t>
  </si>
  <si>
    <t>Fliken Finansieringskalkyl slut.</t>
  </si>
  <si>
    <t>w</t>
  </si>
  <si>
    <t>Fliken Kalkyl av månatlig försäljning. På denna flik kan du definiera kalkylen av månatlig försäljning för sex produkter/produktgrupper. Fyll i namnen på produkterna/produktgrupperna. På denna flik finns 3 tabeller: Tabellen “Pris på produkterna”, tabellen “Antalet sålda produkter” och tabellen “Sammanfattning av försäljningen”. I tabellen “Fyll i produkternas priser”, fyll i de skattefria priserna och kostnaderna för produkterna. I tabellen “Antalet sålda produkter”, fyll i kolumnerna “Antal”, kolumnerna “Pris” fylls i automatiskt. Ersätt “Kund 1”, “Kund 2” etc. med namnet på de verkliga kunderna. De övriga tabellerna fylls i automatiskt.</t>
  </si>
  <si>
    <t>Månadsförsäljningskalkyl av dina produkter / tjänster</t>
  </si>
  <si>
    <t>Namn på produkter/produktgrupper 
(fyll i till höger):</t>
  </si>
  <si>
    <t>Priser på produkter/produktgrupper, 
€/mån. utan mervärdesskatt</t>
  </si>
  <si>
    <t>Skattefritt pris och direkta kostnader för produkten/produktgruppen</t>
  </si>
  <si>
    <t>Produktens/produktgruppens täckning</t>
  </si>
  <si>
    <t>Sålda produkter/tjänster per kund 
(namnge kunden/kundgruppen)</t>
  </si>
  <si>
    <t>Kundgrupp 1</t>
  </si>
  <si>
    <t>Kundgrupp 2</t>
  </si>
  <si>
    <t>Kundgrupp 3</t>
  </si>
  <si>
    <t>Kundgrupp 4</t>
  </si>
  <si>
    <t>Kundgrupp 5</t>
  </si>
  <si>
    <t>Kundgrupp 6</t>
  </si>
  <si>
    <t>Sålda produkter totalt</t>
  </si>
  <si>
    <t>Försäljningstäckning totalt</t>
  </si>
  <si>
    <t>Produktförsäljning totalt</t>
  </si>
  <si>
    <t>Kostnader totalt</t>
  </si>
  <si>
    <t>Sammandrag av försäljningen</t>
  </si>
  <si>
    <t>Omsättning (utan moms)</t>
  </si>
  <si>
    <t>Lönsamhetskalkylens behov av försäljningstäckning</t>
  </si>
  <si>
    <t>Skillnad (ska vara positiv för att verksamheten ska vara vinstdrivande)</t>
  </si>
  <si>
    <t>Rörelsevinstprocent (Mål ca 10 procent. Kontrollera lönsamheten om under 5 procent)</t>
  </si>
  <si>
    <t>Skattefri 
pris 1</t>
  </si>
  <si>
    <t>Skattefri 
pris 2</t>
  </si>
  <si>
    <t>Skattefri 
pris 3</t>
  </si>
  <si>
    <t>Skattefri 
pris 4</t>
  </si>
  <si>
    <t>Skattefri 
pris 5</t>
  </si>
  <si>
    <t>Skattefri 
pris 6</t>
  </si>
  <si>
    <t>Produkt/Tjänst 1</t>
  </si>
  <si>
    <t>Produkt/Tjänst 2</t>
  </si>
  <si>
    <t>Produkt/Tjänst 3</t>
  </si>
  <si>
    <t>Produkt/Tjänst 4</t>
  </si>
  <si>
    <t>Produkt/Tjänst 5</t>
  </si>
  <si>
    <t>Produkt/Tjänst 6</t>
  </si>
  <si>
    <t>Kostnader 1</t>
  </si>
  <si>
    <t>Kostnader 2</t>
  </si>
  <si>
    <t>Kostnader 3</t>
  </si>
  <si>
    <t>Kostnader 4</t>
  </si>
  <si>
    <t>Kostnader 5</t>
  </si>
  <si>
    <t>Kostnader 6</t>
  </si>
  <si>
    <t>Antal 1</t>
  </si>
  <si>
    <t>Antal 2</t>
  </si>
  <si>
    <t>Antal 3</t>
  </si>
  <si>
    <t>Antal 4</t>
  </si>
  <si>
    <t>Antal 5</t>
  </si>
  <si>
    <t>Antal 6</t>
  </si>
  <si>
    <t>Täckning 
totalt 1</t>
  </si>
  <si>
    <t>Täckning 
totalt 2</t>
  </si>
  <si>
    <t>Täckning 
totalt 3</t>
  </si>
  <si>
    <t>Täckning 
totalt 4</t>
  </si>
  <si>
    <t>Täckning 
totalt 5</t>
  </si>
  <si>
    <t>Täckning 
totalt 6</t>
  </si>
  <si>
    <t>Alla produkter</t>
  </si>
  <si>
    <t>I året</t>
  </si>
  <si>
    <t>Fliken Kassaflödeskalkyl 1. året. På denna flik finns tabeller för kassaflödeskalkyl för det första året. Längst ner på fliken hittar du “Anvisningar för kassaflödeskalkyl”, som innehåller mer detaljerade anvisningar för att fylla i vissa celler. Anvisningar finns också i anteckningarna för cellerna. I cellen “Räkenskapsårets början” kan du skriva in datum för räkenskapsårets början. Du kan fylla i den önskade procentenheten i cellen “Mervärdesskatteprocent”. Tabellerna på fliken har delats in i kolumnen uppskattning och tolv period-kolumner; en per månad. På fliken finns 7 tabeller: Tabellen “Startkassa”, tabellen “Betalning till kassa”, tabellen “Startkassa och inkomster”, tabellen “Betalning ur kassa moms”, tabellen “Betalning ur kassa”, tabellen “Finansiering” och tabellen “Betalningsberedskap i slutet av månaden”. Fyll i tabellen “Betalning till kassa”, tabellen “Betalning ur kassa moms”, tabellen “Betalning ur kassa” och tabellen “Finansiering”. När de är ifyllda visas de summor som baseras på dem längst till höger. Kolumnen “Uppskattning” i tabellen “Startkassa” kan fyllas i. De övriga tabellerna fylls i automatiskt.</t>
  </si>
  <si>
    <t>Kassaflödeskalkyl</t>
  </si>
  <si>
    <t>1. ÅR</t>
  </si>
  <si>
    <t>Mervärdesskatteprocent (fyll i nedan):</t>
  </si>
  <si>
    <t>Räkenskapsperioden börjar (fyll i nedan):</t>
  </si>
  <si>
    <t>Startkassa, det vill säga likvida medel i början av perioden</t>
  </si>
  <si>
    <t>Betalningsberedskap för föregående period</t>
  </si>
  <si>
    <t>Betalning till kassa, det vill säga intäkter</t>
  </si>
  <si>
    <t>Kontantförsäljning (moms 0 %)</t>
  </si>
  <si>
    <t>Betalningar från kundfordringar (moms 0 %)</t>
  </si>
  <si>
    <t>Övriga intäkter (moms 0 %)</t>
  </si>
  <si>
    <t>Totalt (inklusive moms)</t>
  </si>
  <si>
    <t>Startkassa och intäkter</t>
  </si>
  <si>
    <t>Summa av startkassa och intäkter</t>
  </si>
  <si>
    <t>Betalning ur kassa (inklusive moms)</t>
  </si>
  <si>
    <t>Inköp (moms 0 %)</t>
  </si>
  <si>
    <t>Inköp (inklusive moms)</t>
  </si>
  <si>
    <t>Mervärdesskatt för förrförra perioden (differens som ska betalas)</t>
  </si>
  <si>
    <t>Betalning ur kassa (moms 0 %)</t>
  </si>
  <si>
    <t>Betalning av leverantörsskulder</t>
  </si>
  <si>
    <t>Löner</t>
  </si>
  <si>
    <t>FöPL</t>
  </si>
  <si>
    <t>Förskottsinnehållning och socialförsäkringsavgift / ArPL</t>
  </si>
  <si>
    <t>Räntor</t>
  </si>
  <si>
    <t>Andra kostnader 1</t>
  </si>
  <si>
    <t>Andra kostnader 2</t>
  </si>
  <si>
    <t>Betalning ur kassa totalt</t>
  </si>
  <si>
    <t>Finansiering</t>
  </si>
  <si>
    <t>Amortering på lån, ur finansiering</t>
  </si>
  <si>
    <t>Lyft av lån</t>
  </si>
  <si>
    <t>Ägarnas investeringar</t>
  </si>
  <si>
    <t>Ägarnas privata uttag, ur finansiering</t>
  </si>
  <si>
    <t>Annan finansiering 1</t>
  </si>
  <si>
    <t>Annan finansiering 2</t>
  </si>
  <si>
    <t>Finansiering totalt</t>
  </si>
  <si>
    <t>Betalningsberedskap (i slutet av månaden)</t>
  </si>
  <si>
    <t>Kassatillgångar = 
(Startkassa + intäkter + finansiering) - betalning ur kassa</t>
  </si>
  <si>
    <t>Anvisningar för kassaflödeskalkyl:</t>
  </si>
  <si>
    <r>
      <rPr>
        <b/>
        <sz val="14"/>
        <color theme="1"/>
        <rFont val="Arial"/>
        <family val="2"/>
      </rPr>
      <t>Mervärdesskatt för förrförra perioden:
Negativt tal = retur av moms från skatteverket.
Positivt tal = moms som ska betalas till skatteverket.</t>
    </r>
    <r>
      <rPr>
        <sz val="14"/>
        <color theme="1"/>
        <rFont val="Arial"/>
        <family val="2"/>
      </rPr>
      <t xml:space="preserve">
Deklarations- och betalningsdagen för mervärdesskatt (moms) är den 12:e dagen i den månad som är den andra månaden efter skatteperiodens slut. Därmed betalas exempelvis moms för januari senast den 12 mars. OBS! Denna kalkyl har förenklats vad gäller mervärdesskatt. Även momsen på andra kostnader för förvärvande av inkomst (än inköp) kan dras av i mervärdesbeskattningen.</t>
    </r>
  </si>
  <si>
    <t>Ökning av betalningsberedskapen</t>
  </si>
  <si>
    <t>(Före) inledningen</t>
  </si>
  <si>
    <t>Uppskattning</t>
  </si>
  <si>
    <t>Fylls inte</t>
  </si>
  <si>
    <t>Rubrikuppskattning</t>
  </si>
  <si>
    <t>Fliken Kassaflödeskalkyl 1. året, höger kant.</t>
  </si>
  <si>
    <t>Fliken Kassaflödeskalkyl 1. året slut.</t>
  </si>
  <si>
    <t>Fliken Kassaflödeskalkyl 2. året. På denna flik finns tabeller för kassaflödeskalkyl för det andra året. Längst ner på fliken hittar du “Anvisningar för kassaflödeskalkyl”, som innehåller mer detaljerade anvisningar för att fylla i vissa celler. Anvisningar finns också i anteckningarna för cellerna. I cellen “Räkenskapsårets början” kan du skriva in datum för räkenskapsårets början. Du kan fylla i den önskade procentenheten i cellen “Mervärdesskatteprocent”. Tabellerna på fliken har delats in i kolumnen uppskattning och tolv period-kolumner; en per månad. På fliken finns 7 tabeller: Tabellen “Startkassa”, tabellen “Betalning till kassa”, tabellen “Startkassa och inkomster”, tabellen “Betalning ur kassa moms”, tabellen “Betalning ur kassa”, tabellen “Finansiering” och tabellen “Betalningsberedskap i slutet av månaden”. Fyll i tabellen “Betalning till kassa”, tabellen “Betalning ur kassa moms”, tabellen “Betalning ur kassa” och tabellen “Finansiering”. När de är ifyllda visas de summor som baseras på dem längst till höger. Kolumnen “Uppskattning” i tabellen “Startkassa” kan fyllas i. De övriga tabellerna fylls i automatiskt.</t>
  </si>
  <si>
    <t>2. ÅR</t>
  </si>
  <si>
    <t>Fliken Kassaflödeskalkyl 2. året, höger kant.</t>
  </si>
  <si>
    <t>Fliken Kassaflödeskalkyl 2. året slut.</t>
  </si>
  <si>
    <t>Fliken Kassaflödeskalkyl 3. året. På denna flik finns tabeller för kassaflödeskalkyl för det tredje året. Längst ner på fliken hittar du “Anvisningar för kassaflödeskalkyl”, som innehåller mer detaljerade anvisningar för att fylla i vissa celler. Anvisningar finns också i anteckningarna för cellerna. I cellen “Räkenskapsårets början” kan du skriva in datum för räkenskapsårets början. Du kan fylla i den önskade procentenheten i cellen “Mervärdesskatteprocent”. Tabellerna på fliken har delats in i kolumnen uppskattning och tolv period-kolumner; en per månad. På fliken finns 7 tabeller: Tabellen “Startkassa”, tabellen “Betalning till kassa”, tabellen “Startkassa och inkomster”, tabellen “Betalning ur kassa moms”, tabellen “Betalning ur kassa”, tabellen “Finansiering” och tabellen “Betalningsberedskap i slutet av månaden”. Fyll i tabellen “Betalning till kassa”, tabellen “Betalning ur kassa moms”, tabellen “Betalning ur kassa” och tabellen “Finansiering”. När de är ifyllda visas de summor som baseras på dem längst till höger. Kolumnen “Uppskattning” i tabellen “Startkassa” kan fyllas i. De övriga tabellerna fylls i automatiskt.</t>
  </si>
  <si>
    <t>3. ÅR</t>
  </si>
  <si>
    <r>
      <t>Mervärdesskatt för förrförra perioden:
Negativt tal = retur av moms från skatteverket.
Positivt tal = moms som ska betalas till skatteverket.</t>
    </r>
    <r>
      <rPr>
        <sz val="14"/>
        <color theme="1"/>
        <rFont val="Arial"/>
        <family val="2"/>
      </rPr>
      <t xml:space="preserve">
Deklarations- och betalningsdagen för mervärdesskatt (moms) är den 12:e dagen i den månad som är den andra månaden efter skatteperiodens slut. Därmed betalas exempelvis moms för januari senast den 12 mars. OBS! Denna kalkyl har förenklats vad gäller mervärdesskatt. Även momsen på andra kostnader för förvärvande av inkomst (än inköp) kan dras av i mervärdesbeskattningen.</t>
    </r>
  </si>
  <si>
    <r>
      <rPr>
        <b/>
        <sz val="14"/>
        <color theme="1"/>
        <rFont val="Arial"/>
        <family val="2"/>
      </rPr>
      <t xml:space="preserve">Utgifter för grundande av företaget: </t>
    </r>
    <r>
      <rPr>
        <sz val="14"/>
        <color theme="1"/>
        <rFont val="Arial"/>
        <family val="2"/>
      </rPr>
      <t>Registrering av en firma kostar 75 €, registrering av ett aktiebolag kostar 300 €. Även kostnader för utarbetande av exempelvis ett aktieavtal eller sektorsspecifika tillstånd kan inkluderas i kostnaderna för grundande.</t>
    </r>
  </si>
  <si>
    <r>
      <rPr>
        <b/>
        <sz val="14"/>
        <color theme="1"/>
        <rFont val="Arial"/>
        <family val="2"/>
      </rPr>
      <t xml:space="preserve">Företagarens pensionsförsäkring: </t>
    </r>
    <r>
      <rPr>
        <sz val="14"/>
        <color theme="1"/>
        <rFont val="Arial"/>
        <family val="2"/>
      </rPr>
      <t>Företagarens pensionsförsäkring (FöPL) är obligatorisk och bedöms på basis av företagarens egen FöPL-arbetsinomst. En ny företagare får 22 procent rabatt på de första 48 månaderna. Till exempel, med en årsarbetsinkomst på 15 481 € är den nedsatta FöPL-månadsavgiften för en person under 53 år 246 €/månad. Pensionsförsäkringen för arbetare (ArPL) är obligatorisk när företaget anställer en avlönad arbetstagare.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</si>
</sst>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7" formatCode="#,##0.00\ &quot;€&quot;;\-#,##0.00\ &quot;€&quot;"/>
    <numFmt numFmtId="43" formatCode="_-* #,##0.00_-;\-* #,##0.00_-;_-* &quot;-&quot;??_-;_-@_-"/>
    <numFmt numFmtId="164" formatCode="#,##0\ &quot;€&quot;"/>
    <numFmt numFmtId="165" formatCode="#,##0.00\ &quot;€&quot;"/>
    <numFmt numFmtId="166" formatCode="0.0"/>
  </numFmts>
  <fonts count="19" x14ac:knownFonts="1">
    <font>
      <sz val="12"/>
      <color theme="1"/>
      <name val="Calibri"/>
      <family val="2"/>
      <scheme val="minor"/>
    </font>
    <font>
      <b/>
      <sz val="16"/>
      <color theme="1"/>
      <name val="Arial"/>
      <family val="2"/>
    </font>
    <font>
      <sz val="14"/>
      <color theme="1"/>
      <name val="Arial"/>
      <family val="2"/>
    </font>
    <font>
      <sz val="12"/>
      <color rgb="FF000000"/>
      <name val="Arial"/>
      <family val="34"/>
    </font>
    <font>
      <b/>
      <sz val="12"/>
      <color rgb="FF000000"/>
      <name val="Arial"/>
      <family val="34"/>
    </font>
    <font>
      <b/>
      <sz val="14"/>
      <color theme="0"/>
      <name val="Arial"/>
      <family val="2"/>
    </font>
    <font>
      <i/>
      <sz val="14"/>
      <color theme="0"/>
      <name val="Arial"/>
      <family val="2"/>
    </font>
    <font>
      <sz val="14"/>
      <color theme="0"/>
      <name val="Arial"/>
      <family val="2"/>
    </font>
    <font>
      <b/>
      <sz val="14"/>
      <color theme="1"/>
      <name val="Arial"/>
      <family val="2"/>
    </font>
    <font>
      <b/>
      <sz val="14"/>
      <name val="Arial"/>
      <family val="2"/>
    </font>
    <font>
      <i/>
      <sz val="14"/>
      <color theme="4" tint="0.79998168889431442"/>
      <name val="Arial"/>
      <family val="2"/>
    </font>
    <font>
      <i/>
      <sz val="14"/>
      <color theme="1"/>
      <name val="Arial"/>
      <family val="2"/>
    </font>
    <font>
      <sz val="14"/>
      <color rgb="FF000000"/>
      <name val="Arial"/>
      <family val="2"/>
    </font>
    <font>
      <sz val="8"/>
      <name val="Calibri"/>
      <family val="2"/>
      <scheme val="minor"/>
    </font>
    <font>
      <u/>
      <sz val="12"/>
      <color theme="10"/>
      <name val="Calibri"/>
      <family val="2"/>
      <scheme val="minor"/>
    </font>
    <font>
      <u/>
      <sz val="14"/>
      <color theme="10"/>
      <name val="Arial"/>
      <family val="2"/>
    </font>
    <font>
      <sz val="10"/>
      <name val="Arial"/>
      <family val="2"/>
    </font>
    <font>
      <sz val="12"/>
      <color rgb="FF000000"/>
      <name val="Calibri"/>
      <family val="2"/>
      <scheme val="minor"/>
    </font>
    <font>
      <sz val="12"/>
      <color theme="1"/>
      <name val="Calibri"/>
      <family val="2"/>
      <scheme val="minor"/>
    </font>
  </fonts>
  <fills count="8">
    <fill>
      <patternFill patternType="none"/>
    </fill>
    <fill>
      <patternFill patternType="gray125"/>
    </fill>
    <fill>
      <patternFill patternType="solid">
        <fgColor theme="4" tint="0.79998168889431442"/>
        <bgColor indexed="64"/>
      </patternFill>
    </fill>
    <fill>
      <patternFill patternType="solid">
        <fgColor theme="4" tint="-0.499984740745262"/>
        <bgColor indexed="64"/>
      </patternFill>
    </fill>
    <fill>
      <patternFill patternType="solid">
        <fgColor theme="7" tint="0.79998168889431442"/>
        <bgColor indexed="64"/>
      </patternFill>
    </fill>
    <fill>
      <patternFill patternType="solid">
        <fgColor theme="0"/>
        <bgColor indexed="64"/>
      </patternFill>
    </fill>
    <fill>
      <patternFill patternType="solid">
        <fgColor rgb="FFF1DBFF"/>
        <bgColor indexed="64"/>
      </patternFill>
    </fill>
    <fill>
      <patternFill patternType="solid">
        <fgColor rgb="FFFFFBF2"/>
        <bgColor indexed="64"/>
      </patternFill>
    </fill>
  </fills>
  <borders count="105">
    <border>
      <left/>
      <right/>
      <top/>
      <bottom/>
      <diagonal/>
    </border>
    <border>
      <left/>
      <right/>
      <top style="thin">
        <color theme="4" tint="0.39997558519241921"/>
      </top>
      <bottom style="thin">
        <color theme="4" tint="0.39997558519241921"/>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right/>
      <top style="thin">
        <color theme="0"/>
      </top>
      <bottom/>
      <diagonal/>
    </border>
    <border>
      <left/>
      <right style="thin">
        <color theme="0"/>
      </right>
      <top style="thin">
        <color theme="4" tint="0.39997558519241921"/>
      </top>
      <bottom style="thin">
        <color theme="4" tint="0.39997558519241921"/>
      </bottom>
      <diagonal/>
    </border>
    <border>
      <left style="thin">
        <color theme="4" tint="0.39997558519241921"/>
      </left>
      <right style="thin">
        <color theme="4" tint="0.39994506668294322"/>
      </right>
      <top style="thin">
        <color theme="0"/>
      </top>
      <bottom/>
      <diagonal/>
    </border>
    <border>
      <left style="thin">
        <color theme="4" tint="0.39994506668294322"/>
      </left>
      <right style="thin">
        <color theme="4" tint="0.39994506668294322"/>
      </right>
      <top style="thin">
        <color theme="0"/>
      </top>
      <bottom/>
      <diagonal/>
    </border>
    <border>
      <left style="thin">
        <color theme="4" tint="0.39994506668294322"/>
      </left>
      <right style="thin">
        <color theme="4" tint="0.39997558519241921"/>
      </right>
      <top style="thin">
        <color theme="0"/>
      </top>
      <bottom/>
      <diagonal/>
    </border>
    <border>
      <left style="thin">
        <color theme="4" tint="0.39997558519241921"/>
      </left>
      <right style="thin">
        <color theme="4" tint="0.39994506668294322"/>
      </right>
      <top style="thin">
        <color theme="4" tint="0.39997558519241921"/>
      </top>
      <bottom style="thin">
        <color theme="4" tint="0.39997558519241921"/>
      </bottom>
      <diagonal/>
    </border>
    <border>
      <left style="thin">
        <color theme="4" tint="0.39994506668294322"/>
      </left>
      <right style="thin">
        <color theme="4" tint="0.39994506668294322"/>
      </right>
      <top style="thin">
        <color theme="4" tint="0.39997558519241921"/>
      </top>
      <bottom style="thin">
        <color theme="4" tint="0.39997558519241921"/>
      </bottom>
      <diagonal/>
    </border>
    <border>
      <left style="thin">
        <color theme="4" tint="0.39994506668294322"/>
      </left>
      <right style="thin">
        <color theme="4" tint="0.39997558519241921"/>
      </right>
      <top style="thin">
        <color theme="4" tint="0.39997558519241921"/>
      </top>
      <bottom style="thin">
        <color theme="4" tint="0.39997558519241921"/>
      </bottom>
      <diagonal/>
    </border>
    <border>
      <left/>
      <right style="thin">
        <color theme="4" tint="0.39994506668294322"/>
      </right>
      <top style="thin">
        <color theme="0"/>
      </top>
      <bottom style="thin">
        <color theme="4" tint="0.39994506668294322"/>
      </bottom>
      <diagonal/>
    </border>
    <border>
      <left style="thin">
        <color theme="4" tint="0.39994506668294322"/>
      </left>
      <right style="thin">
        <color theme="4" tint="0.39994506668294322"/>
      </right>
      <top style="thin">
        <color theme="0"/>
      </top>
      <bottom style="thin">
        <color theme="4" tint="0.39994506668294322"/>
      </bottom>
      <diagonal/>
    </border>
    <border>
      <left style="thin">
        <color theme="4" tint="0.39994506668294322"/>
      </left>
      <right style="thin">
        <color theme="0"/>
      </right>
      <top style="thin">
        <color theme="0"/>
      </top>
      <bottom style="thin">
        <color theme="4" tint="0.39994506668294322"/>
      </bottom>
      <diagonal/>
    </border>
    <border>
      <left/>
      <right style="thin">
        <color theme="4" tint="0.39994506668294322"/>
      </right>
      <top style="thin">
        <color theme="4" tint="0.39994506668294322"/>
      </top>
      <bottom style="thin">
        <color theme="4" tint="0.39994506668294322"/>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n">
        <color theme="4" tint="0.39994506668294322"/>
      </left>
      <right style="thin">
        <color theme="0"/>
      </right>
      <top style="thin">
        <color theme="4" tint="0.39994506668294322"/>
      </top>
      <bottom style="thin">
        <color theme="4" tint="0.39994506668294322"/>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right style="thin">
        <color theme="4" tint="0.39994506668294322"/>
      </right>
      <top style="thin">
        <color theme="4" tint="0.39994506668294322"/>
      </top>
      <bottom style="thin">
        <color theme="0"/>
      </bottom>
      <diagonal/>
    </border>
    <border>
      <left style="thin">
        <color theme="4" tint="0.39994506668294322"/>
      </left>
      <right style="thin">
        <color theme="4" tint="0.39994506668294322"/>
      </right>
      <top style="thin">
        <color theme="4" tint="0.39994506668294322"/>
      </top>
      <bottom style="thin">
        <color theme="0"/>
      </bottom>
      <diagonal/>
    </border>
    <border>
      <left style="thin">
        <color theme="4" tint="0.39994506668294322"/>
      </left>
      <right style="thin">
        <color theme="0"/>
      </right>
      <top style="thin">
        <color theme="4" tint="0.39994506668294322"/>
      </top>
      <bottom style="thin">
        <color theme="0"/>
      </bottom>
      <diagonal/>
    </border>
    <border>
      <left style="thin">
        <color theme="4" tint="0.39994506668294322"/>
      </left>
      <right style="thin">
        <color theme="4" tint="0.39994506668294322"/>
      </right>
      <top style="thin">
        <color theme="4" tint="0.39994506668294322"/>
      </top>
      <bottom/>
      <diagonal/>
    </border>
    <border>
      <left/>
      <right style="thin">
        <color theme="4" tint="0.39994506668294322"/>
      </right>
      <top style="thin">
        <color theme="4" tint="0.39994506668294322"/>
      </top>
      <bottom/>
      <diagonal/>
    </border>
    <border>
      <left style="thin">
        <color theme="4" tint="0.39994506668294322"/>
      </left>
      <right style="thin">
        <color theme="0"/>
      </right>
      <top style="thin">
        <color theme="4" tint="0.39994506668294322"/>
      </top>
      <bottom/>
      <diagonal/>
    </border>
    <border>
      <left/>
      <right style="thin">
        <color theme="4" tint="0.39994506668294322"/>
      </right>
      <top style="dashDot">
        <color theme="4" tint="0.39997558519241921"/>
      </top>
      <bottom style="thin">
        <color theme="4" tint="0.39994506668294322"/>
      </bottom>
      <diagonal/>
    </border>
    <border>
      <left style="thin">
        <color theme="4" tint="0.39994506668294322"/>
      </left>
      <right style="thin">
        <color theme="4" tint="0.39994506668294322"/>
      </right>
      <top style="dashDot">
        <color theme="4" tint="0.39997558519241921"/>
      </top>
      <bottom style="thin">
        <color theme="4" tint="0.39994506668294322"/>
      </bottom>
      <diagonal/>
    </border>
    <border>
      <left style="thin">
        <color theme="4" tint="0.39994506668294322"/>
      </left>
      <right style="thin">
        <color theme="0"/>
      </right>
      <top style="dashDot">
        <color theme="4" tint="0.39997558519241921"/>
      </top>
      <bottom style="thin">
        <color theme="4" tint="0.39994506668294322"/>
      </bottom>
      <diagonal/>
    </border>
    <border>
      <left style="thin">
        <color theme="4" tint="0.39997558519241921"/>
      </left>
      <right style="thin">
        <color theme="4" tint="0.39994506668294322"/>
      </right>
      <top style="thin">
        <color theme="4" tint="0.39997558519241921"/>
      </top>
      <bottom style="medium">
        <color theme="4"/>
      </bottom>
      <diagonal/>
    </border>
    <border>
      <left style="thin">
        <color theme="4" tint="0.39994506668294322"/>
      </left>
      <right style="thin">
        <color theme="4" tint="0.39994506668294322"/>
      </right>
      <top style="thin">
        <color theme="4" tint="0.39997558519241921"/>
      </top>
      <bottom style="medium">
        <color theme="4"/>
      </bottom>
      <diagonal/>
    </border>
    <border>
      <left/>
      <right style="thin">
        <color theme="4" tint="0.39994506668294322"/>
      </right>
      <top style="thin">
        <color theme="4" tint="0.39994506668294322"/>
      </top>
      <bottom style="medium">
        <color theme="4"/>
      </bottom>
      <diagonal/>
    </border>
    <border>
      <left style="thin">
        <color theme="4" tint="0.39994506668294322"/>
      </left>
      <right style="thin">
        <color theme="4" tint="0.39994506668294322"/>
      </right>
      <top style="thin">
        <color theme="4" tint="0.39994506668294322"/>
      </top>
      <bottom style="medium">
        <color theme="4"/>
      </bottom>
      <diagonal/>
    </border>
    <border>
      <left style="thin">
        <color theme="4" tint="0.39994506668294322"/>
      </left>
      <right style="thin">
        <color theme="0"/>
      </right>
      <top style="thin">
        <color theme="4" tint="0.39994506668294322"/>
      </top>
      <bottom style="medium">
        <color theme="4"/>
      </bottom>
      <diagonal/>
    </border>
    <border>
      <left/>
      <right style="thin">
        <color theme="0"/>
      </right>
      <top style="thin">
        <color theme="4" tint="0.39997558519241921"/>
      </top>
      <bottom style="medium">
        <color theme="4"/>
      </bottom>
      <diagonal/>
    </border>
    <border>
      <left/>
      <right/>
      <top style="thin">
        <color theme="4" tint="0.39997558519241921"/>
      </top>
      <bottom style="medium">
        <color theme="4"/>
      </bottom>
      <diagonal/>
    </border>
    <border>
      <left style="thin">
        <color theme="4" tint="0.39994506668294322"/>
      </left>
      <right style="thin">
        <color theme="4" tint="0.39997558519241921"/>
      </right>
      <top style="thin">
        <color theme="4" tint="0.39997558519241921"/>
      </top>
      <bottom style="medium">
        <color theme="4"/>
      </bottom>
      <diagonal/>
    </border>
    <border>
      <left style="thin">
        <color theme="4" tint="0.39994506668294322"/>
      </left>
      <right style="thin">
        <color theme="0"/>
      </right>
      <top/>
      <bottom style="thin">
        <color theme="4" tint="0.39994506668294322"/>
      </bottom>
      <diagonal/>
    </border>
    <border>
      <left/>
      <right style="thin">
        <color theme="4" tint="0.79998168889431442"/>
      </right>
      <top style="thin">
        <color theme="0"/>
      </top>
      <bottom style="thin">
        <color theme="4" tint="0.39994506668294322"/>
      </bottom>
      <diagonal/>
    </border>
    <border>
      <left style="thin">
        <color theme="4" tint="0.79998168889431442"/>
      </left>
      <right style="thin">
        <color theme="0"/>
      </right>
      <top style="thin">
        <color theme="0"/>
      </top>
      <bottom style="thin">
        <color theme="4" tint="0.39994506668294322"/>
      </bottom>
      <diagonal/>
    </border>
    <border>
      <left/>
      <right style="thin">
        <color theme="4" tint="0.79998168889431442"/>
      </right>
      <top style="thin">
        <color theme="4" tint="0.39994506668294322"/>
      </top>
      <bottom style="thin">
        <color theme="4" tint="0.39994506668294322"/>
      </bottom>
      <diagonal/>
    </border>
    <border>
      <left style="thin">
        <color theme="4" tint="0.79998168889431442"/>
      </left>
      <right style="thin">
        <color theme="0"/>
      </right>
      <top style="thin">
        <color theme="4" tint="0.39994506668294322"/>
      </top>
      <bottom style="thin">
        <color theme="4" tint="0.39994506668294322"/>
      </bottom>
      <diagonal/>
    </border>
    <border>
      <left style="thin">
        <color theme="0"/>
      </left>
      <right style="thin">
        <color theme="0"/>
      </right>
      <top style="medium">
        <color theme="4"/>
      </top>
      <bottom style="thin">
        <color theme="0"/>
      </bottom>
      <diagonal/>
    </border>
    <border>
      <left/>
      <right style="thin">
        <color theme="0"/>
      </right>
      <top style="medium">
        <color theme="4"/>
      </top>
      <bottom style="thin">
        <color theme="0"/>
      </bottom>
      <diagonal/>
    </border>
    <border>
      <left style="thin">
        <color theme="4" tint="0.39994506668294322"/>
      </left>
      <right/>
      <top style="thin">
        <color theme="4" tint="0.39994506668294322"/>
      </top>
      <bottom style="thin">
        <color theme="4" tint="0.39994506668294322"/>
      </bottom>
      <diagonal/>
    </border>
    <border>
      <left/>
      <right/>
      <top style="thin">
        <color theme="0"/>
      </top>
      <bottom style="thin">
        <color theme="4" tint="0.39994506668294322"/>
      </bottom>
      <diagonal/>
    </border>
    <border>
      <left/>
      <right/>
      <top style="thin">
        <color theme="4" tint="0.39994506668294322"/>
      </top>
      <bottom style="thin">
        <color theme="4" tint="0.39994506668294322"/>
      </bottom>
      <diagonal/>
    </border>
    <border>
      <left/>
      <right/>
      <top style="thin">
        <color theme="4" tint="0.39994506668294322"/>
      </top>
      <bottom/>
      <diagonal/>
    </border>
    <border>
      <left/>
      <right/>
      <top style="dashDot">
        <color theme="4" tint="0.39997558519241921"/>
      </top>
      <bottom style="thin">
        <color theme="4" tint="0.39994506668294322"/>
      </bottom>
      <diagonal/>
    </border>
    <border>
      <left/>
      <right/>
      <top style="thin">
        <color theme="4" tint="0.39994506668294322"/>
      </top>
      <bottom style="medium">
        <color theme="4"/>
      </bottom>
      <diagonal/>
    </border>
    <border>
      <left/>
      <right/>
      <top style="medium">
        <color theme="4"/>
      </top>
      <bottom/>
      <diagonal/>
    </border>
    <border>
      <left/>
      <right/>
      <top style="medium">
        <color theme="4"/>
      </top>
      <bottom style="medium">
        <color theme="4"/>
      </bottom>
      <diagonal/>
    </border>
    <border>
      <left/>
      <right style="thin">
        <color theme="0"/>
      </right>
      <top style="medium">
        <color theme="4"/>
      </top>
      <bottom style="medium">
        <color theme="4"/>
      </bottom>
      <diagonal/>
    </border>
    <border>
      <left/>
      <right/>
      <top/>
      <bottom style="thin">
        <color theme="0"/>
      </bottom>
      <diagonal/>
    </border>
    <border>
      <left/>
      <right/>
      <top style="thin">
        <color theme="0"/>
      </top>
      <bottom style="thin">
        <color theme="0"/>
      </bottom>
      <diagonal/>
    </border>
    <border>
      <left/>
      <right style="thin">
        <color theme="0"/>
      </right>
      <top style="thin">
        <color theme="0"/>
      </top>
      <bottom style="thin">
        <color theme="4" tint="0.39994506668294322"/>
      </bottom>
      <diagonal/>
    </border>
    <border>
      <left/>
      <right style="thin">
        <color theme="0"/>
      </right>
      <top style="thin">
        <color theme="4" tint="0.39994506668294322"/>
      </top>
      <bottom style="thin">
        <color theme="4" tint="0.39994506668294322"/>
      </bottom>
      <diagonal/>
    </border>
    <border>
      <left style="thick">
        <color theme="4" tint="-0.499984740745262"/>
      </left>
      <right/>
      <top style="thin">
        <color theme="0"/>
      </top>
      <bottom style="thin">
        <color theme="4" tint="0.39994506668294322"/>
      </bottom>
      <diagonal/>
    </border>
    <border>
      <left/>
      <right style="thick">
        <color theme="4" tint="-0.499984740745262"/>
      </right>
      <top style="thin">
        <color theme="0"/>
      </top>
      <bottom style="thin">
        <color theme="4" tint="0.39994506668294322"/>
      </bottom>
      <diagonal/>
    </border>
    <border>
      <left style="thick">
        <color theme="4" tint="-0.499984740745262"/>
      </left>
      <right style="thin">
        <color theme="4" tint="0.39994506668294322"/>
      </right>
      <top style="thin">
        <color theme="4" tint="0.39994506668294322"/>
      </top>
      <bottom style="medium">
        <color theme="4"/>
      </bottom>
      <diagonal/>
    </border>
    <border>
      <left/>
      <right style="thick">
        <color theme="4" tint="-0.499984740745262"/>
      </right>
      <top style="thin">
        <color theme="4" tint="0.39994506668294322"/>
      </top>
      <bottom style="medium">
        <color theme="4"/>
      </bottom>
      <diagonal/>
    </border>
    <border>
      <left style="thick">
        <color theme="4" tint="-0.499984740745262"/>
      </left>
      <right style="thin">
        <color theme="0"/>
      </right>
      <top/>
      <bottom style="thin">
        <color theme="0"/>
      </bottom>
      <diagonal/>
    </border>
    <border>
      <left style="thick">
        <color theme="4" tint="-0.499984740745262"/>
      </left>
      <right style="thin">
        <color theme="4" tint="0.39994506668294322"/>
      </right>
      <top style="thin">
        <color theme="0"/>
      </top>
      <bottom style="thin">
        <color theme="4" tint="0.39994506668294322"/>
      </bottom>
      <diagonal/>
    </border>
    <border>
      <left style="thin">
        <color theme="4" tint="0.39994506668294322"/>
      </left>
      <right style="thick">
        <color theme="4" tint="-0.499984740745262"/>
      </right>
      <top style="thin">
        <color theme="0"/>
      </top>
      <bottom style="thin">
        <color theme="4" tint="0.39994506668294322"/>
      </bottom>
      <diagonal/>
    </border>
    <border>
      <left style="thick">
        <color theme="4" tint="-0.499984740745262"/>
      </left>
      <right style="thin">
        <color theme="4" tint="0.39994506668294322"/>
      </right>
      <top style="thin">
        <color theme="4" tint="0.39994506668294322"/>
      </top>
      <bottom style="thin">
        <color theme="4" tint="0.39994506668294322"/>
      </bottom>
      <diagonal/>
    </border>
    <border>
      <left style="thin">
        <color theme="4" tint="0.39994506668294322"/>
      </left>
      <right style="thick">
        <color theme="4" tint="-0.499984740745262"/>
      </right>
      <top style="thin">
        <color theme="4" tint="0.39994506668294322"/>
      </top>
      <bottom style="thin">
        <color theme="4" tint="0.39994506668294322"/>
      </bottom>
      <diagonal/>
    </border>
    <border>
      <left style="thick">
        <color theme="4" tint="-0.499984740745262"/>
      </left>
      <right style="thin">
        <color theme="4" tint="0.39994506668294322"/>
      </right>
      <top style="thin">
        <color theme="4" tint="0.39994506668294322"/>
      </top>
      <bottom/>
      <diagonal/>
    </border>
    <border>
      <left style="thin">
        <color theme="4" tint="0.39994506668294322"/>
      </left>
      <right style="thick">
        <color theme="4" tint="-0.499984740745262"/>
      </right>
      <top style="thin">
        <color theme="4" tint="0.39994506668294322"/>
      </top>
      <bottom/>
      <diagonal/>
    </border>
    <border>
      <left style="thick">
        <color theme="4" tint="-0.499984740745262"/>
      </left>
      <right style="thin">
        <color theme="4" tint="0.39994506668294322"/>
      </right>
      <top style="dashDot">
        <color theme="4" tint="0.39997558519241921"/>
      </top>
      <bottom style="thin">
        <color theme="4" tint="0.39994506668294322"/>
      </bottom>
      <diagonal/>
    </border>
    <border>
      <left style="thin">
        <color theme="4" tint="0.39994506668294322"/>
      </left>
      <right style="thick">
        <color theme="4" tint="-0.499984740745262"/>
      </right>
      <top style="dashDot">
        <color theme="4" tint="0.39997558519241921"/>
      </top>
      <bottom style="thin">
        <color theme="4" tint="0.39994506668294322"/>
      </bottom>
      <diagonal/>
    </border>
    <border>
      <left style="thick">
        <color theme="4" tint="-0.499984740745262"/>
      </left>
      <right style="thin">
        <color theme="0"/>
      </right>
      <top/>
      <bottom/>
      <diagonal/>
    </border>
    <border>
      <left style="medium">
        <color theme="0"/>
      </left>
      <right style="thick">
        <color theme="4" tint="-0.499984740745262"/>
      </right>
      <top style="medium">
        <color theme="4"/>
      </top>
      <bottom/>
      <diagonal/>
    </border>
    <border>
      <left style="thick">
        <color theme="4" tint="-0.499984740745262"/>
      </left>
      <right style="medium">
        <color theme="0"/>
      </right>
      <top style="medium">
        <color theme="4"/>
      </top>
      <bottom/>
      <diagonal/>
    </border>
    <border>
      <left style="thick">
        <color theme="4" tint="-0.499984740745262"/>
      </left>
      <right style="thin">
        <color theme="0"/>
      </right>
      <top style="thin">
        <color theme="0"/>
      </top>
      <bottom style="thin">
        <color theme="0"/>
      </bottom>
      <diagonal/>
    </border>
    <border>
      <left style="thick">
        <color theme="4" tint="-0.499984740745262"/>
      </left>
      <right style="medium">
        <color theme="0"/>
      </right>
      <top style="medium">
        <color theme="4"/>
      </top>
      <bottom style="thin">
        <color theme="0"/>
      </bottom>
      <diagonal/>
    </border>
    <border>
      <left style="thick">
        <color theme="0"/>
      </left>
      <right/>
      <top style="thin">
        <color theme="4" tint="0.39994506668294322"/>
      </top>
      <bottom style="thin">
        <color theme="0"/>
      </bottom>
      <diagonal/>
    </border>
    <border>
      <left/>
      <right style="thick">
        <color theme="0"/>
      </right>
      <top style="thin">
        <color theme="4" tint="0.39994506668294322"/>
      </top>
      <bottom style="thin">
        <color theme="0"/>
      </bottom>
      <diagonal/>
    </border>
    <border>
      <left style="thick">
        <color theme="0"/>
      </left>
      <right style="thin">
        <color theme="0"/>
      </right>
      <top/>
      <bottom style="thin">
        <color theme="0"/>
      </bottom>
      <diagonal/>
    </border>
    <border>
      <left style="thin">
        <color theme="0"/>
      </left>
      <right style="thick">
        <color theme="0"/>
      </right>
      <top/>
      <bottom style="thin">
        <color theme="0"/>
      </bottom>
      <diagonal/>
    </border>
    <border>
      <left/>
      <right style="thin">
        <color theme="0"/>
      </right>
      <top style="thin">
        <color theme="4" tint="0.39994506668294322"/>
      </top>
      <bottom/>
      <diagonal/>
    </border>
    <border>
      <left/>
      <right style="thin">
        <color theme="0"/>
      </right>
      <top style="dashDot">
        <color theme="4" tint="0.39997558519241921"/>
      </top>
      <bottom style="thin">
        <color theme="4" tint="0.39994506668294322"/>
      </bottom>
      <diagonal/>
    </border>
    <border>
      <left style="thick">
        <color theme="4" tint="-0.499984740745262"/>
      </left>
      <right style="thin">
        <color theme="0"/>
      </right>
      <top style="medium">
        <color theme="4"/>
      </top>
      <bottom/>
      <diagonal/>
    </border>
    <border>
      <left/>
      <right style="thin">
        <color theme="4" tint="0.39994506668294322"/>
      </right>
      <top style="thin">
        <color theme="0"/>
      </top>
      <bottom/>
      <diagonal/>
    </border>
    <border>
      <left/>
      <right/>
      <top style="thin">
        <color theme="4" tint="0.39997558519241921"/>
      </top>
      <bottom/>
      <diagonal/>
    </border>
    <border>
      <left/>
      <right/>
      <top style="medium">
        <color theme="8" tint="-0.24994659260841701"/>
      </top>
      <bottom/>
      <diagonal/>
    </border>
    <border>
      <left style="thin">
        <color theme="0"/>
      </left>
      <right style="thin">
        <color theme="0"/>
      </right>
      <top style="medium">
        <color theme="8" tint="-0.24994659260841701"/>
      </top>
      <bottom/>
      <diagonal/>
    </border>
    <border>
      <left/>
      <right/>
      <top style="thin">
        <color theme="8" tint="-0.24994659260841701"/>
      </top>
      <bottom style="thin">
        <color theme="4" tint="0.39997558519241921"/>
      </bottom>
      <diagonal/>
    </border>
    <border>
      <left style="thin">
        <color theme="0"/>
      </left>
      <right style="thin">
        <color theme="0"/>
      </right>
      <top style="thin">
        <color theme="8" tint="-0.24994659260841701"/>
      </top>
      <bottom/>
      <diagonal/>
    </border>
    <border>
      <left/>
      <right style="thin">
        <color theme="4" tint="0.39994506668294322"/>
      </right>
      <top style="thin">
        <color theme="8" tint="-0.24994659260841701"/>
      </top>
      <bottom style="thin">
        <color theme="0"/>
      </bottom>
      <diagonal/>
    </border>
    <border>
      <left/>
      <right style="thin">
        <color theme="0"/>
      </right>
      <top style="medium">
        <color theme="8" tint="-0.24994659260841701"/>
      </top>
      <bottom/>
      <diagonal/>
    </border>
    <border>
      <left style="thin">
        <color theme="0"/>
      </left>
      <right style="thin">
        <color theme="0"/>
      </right>
      <top style="medium">
        <color theme="8" tint="-0.24994659260841701"/>
      </top>
      <bottom style="thin">
        <color theme="0"/>
      </bottom>
      <diagonal/>
    </border>
    <border>
      <left/>
      <right style="thin">
        <color theme="0"/>
      </right>
      <top style="medium">
        <color theme="8" tint="-0.24994659260841701"/>
      </top>
      <bottom style="thin">
        <color theme="0"/>
      </bottom>
      <diagonal/>
    </border>
    <border>
      <left style="thin">
        <color theme="0"/>
      </left>
      <right style="thin">
        <color theme="0"/>
      </right>
      <top style="thin">
        <color theme="8" tint="-0.24994659260841701"/>
      </top>
      <bottom style="thin">
        <color theme="0"/>
      </bottom>
      <diagonal/>
    </border>
    <border>
      <left style="thin">
        <color theme="0"/>
      </left>
      <right/>
      <top style="thin">
        <color theme="8" tint="-0.24994659260841701"/>
      </top>
      <bottom/>
      <diagonal/>
    </border>
    <border>
      <left/>
      <right style="thin">
        <color theme="0"/>
      </right>
      <top style="thin">
        <color theme="8" tint="-0.24994659260841701"/>
      </top>
      <bottom/>
      <diagonal/>
    </border>
    <border>
      <left style="thin">
        <color theme="0"/>
      </left>
      <right style="thin">
        <color theme="0"/>
      </right>
      <top style="thin">
        <color theme="0"/>
      </top>
      <bottom style="thin">
        <color theme="8" tint="-0.249977111117893"/>
      </bottom>
      <diagonal/>
    </border>
    <border>
      <left/>
      <right style="thin">
        <color theme="0"/>
      </right>
      <top style="medium">
        <color theme="4"/>
      </top>
      <bottom/>
      <diagonal/>
    </border>
    <border>
      <left style="thin">
        <color theme="0"/>
      </left>
      <right/>
      <top style="medium">
        <color theme="4"/>
      </top>
      <bottom/>
      <diagonal/>
    </border>
  </borders>
  <cellStyleXfs count="3">
    <xf numFmtId="0" fontId="0" fillId="0" borderId="0"/>
    <xf numFmtId="0" fontId="14" fillId="0" borderId="0" applyNumberFormat="0" applyFill="0" applyBorder="0" applyAlignment="0" applyProtection="0"/>
    <xf numFmtId="43" fontId="18" fillId="0" borderId="0" applyFont="0" applyFill="0" applyBorder="0" applyAlignment="0" applyProtection="0"/>
  </cellStyleXfs>
  <cellXfs count="211">
    <xf numFmtId="0" fontId="0" fillId="0" borderId="0" xfId="0"/>
    <xf numFmtId="0" fontId="1" fillId="0" borderId="2" xfId="0" applyFont="1" applyBorder="1" applyAlignment="1" applyProtection="1">
      <alignment vertical="top"/>
      <protection locked="0"/>
    </xf>
    <xf numFmtId="0" fontId="2" fillId="0" borderId="2" xfId="0" applyFont="1" applyBorder="1" applyAlignment="1" applyProtection="1">
      <alignment vertical="top"/>
      <protection locked="0"/>
    </xf>
    <xf numFmtId="0" fontId="1" fillId="0" borderId="2" xfId="0" applyFont="1" applyBorder="1" applyAlignment="1" applyProtection="1">
      <alignment vertical="top" wrapText="1"/>
      <protection locked="0"/>
    </xf>
    <xf numFmtId="0" fontId="6" fillId="0" borderId="2" xfId="0" applyFont="1" applyBorder="1" applyAlignment="1" applyProtection="1">
      <alignment vertical="top"/>
      <protection locked="0"/>
    </xf>
    <xf numFmtId="0" fontId="7" fillId="0" borderId="2" xfId="0" applyFont="1" applyBorder="1" applyAlignment="1" applyProtection="1">
      <alignment vertical="top"/>
      <protection locked="0"/>
    </xf>
    <xf numFmtId="0" fontId="8" fillId="0" borderId="2" xfId="0" applyFont="1" applyBorder="1" applyAlignment="1" applyProtection="1">
      <alignment vertical="top"/>
      <protection locked="0"/>
    </xf>
    <xf numFmtId="0" fontId="2" fillId="0" borderId="2" xfId="0" applyFont="1" applyBorder="1" applyAlignment="1" applyProtection="1">
      <alignment vertical="top" wrapText="1"/>
      <protection locked="0"/>
    </xf>
    <xf numFmtId="0" fontId="2" fillId="0" borderId="4" xfId="0" applyFont="1" applyBorder="1" applyAlignment="1" applyProtection="1">
      <alignment vertical="center" wrapText="1"/>
      <protection locked="0"/>
    </xf>
    <xf numFmtId="0" fontId="2" fillId="0" borderId="5"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wrapText="1"/>
      <protection locked="0"/>
    </xf>
    <xf numFmtId="0" fontId="2" fillId="0" borderId="18" xfId="0" applyFont="1" applyBorder="1" applyAlignment="1" applyProtection="1">
      <alignment vertical="top"/>
      <protection locked="0"/>
    </xf>
    <xf numFmtId="0" fontId="2" fillId="0" borderId="21" xfId="0" quotePrefix="1" applyFont="1" applyBorder="1" applyAlignment="1" applyProtection="1">
      <alignment vertical="top"/>
      <protection locked="0"/>
    </xf>
    <xf numFmtId="0" fontId="9" fillId="5" borderId="21" xfId="0" quotePrefix="1" applyFont="1" applyFill="1" applyBorder="1" applyAlignment="1" applyProtection="1">
      <alignment vertical="top"/>
      <protection locked="0"/>
    </xf>
    <xf numFmtId="0" fontId="8" fillId="5" borderId="21" xfId="0" quotePrefix="1" applyFont="1" applyFill="1" applyBorder="1" applyAlignment="1" applyProtection="1">
      <alignment vertical="top"/>
      <protection locked="0"/>
    </xf>
    <xf numFmtId="0" fontId="2" fillId="0" borderId="38" xfId="0" quotePrefix="1" applyFont="1" applyBorder="1" applyAlignment="1" applyProtection="1">
      <alignment vertical="top"/>
      <protection locked="0"/>
    </xf>
    <xf numFmtId="0" fontId="8" fillId="0" borderId="25" xfId="0" quotePrefix="1" applyFont="1" applyBorder="1" applyAlignment="1" applyProtection="1">
      <alignment vertical="top"/>
      <protection locked="0"/>
    </xf>
    <xf numFmtId="0" fontId="2" fillId="0" borderId="4" xfId="0" applyFont="1" applyBorder="1" applyAlignment="1" applyProtection="1">
      <alignment vertical="center"/>
      <protection locked="0"/>
    </xf>
    <xf numFmtId="0" fontId="2" fillId="0" borderId="21" xfId="0" applyFont="1" applyBorder="1" applyAlignment="1" applyProtection="1">
      <alignment vertical="top"/>
      <protection locked="0"/>
    </xf>
    <xf numFmtId="0" fontId="2" fillId="0" borderId="3" xfId="0" applyFont="1" applyBorder="1" applyAlignment="1" applyProtection="1">
      <alignment vertical="top"/>
      <protection locked="0"/>
    </xf>
    <xf numFmtId="0" fontId="2" fillId="0" borderId="38" xfId="0" applyFont="1" applyBorder="1" applyAlignment="1" applyProtection="1">
      <alignment vertical="top"/>
      <protection locked="0"/>
    </xf>
    <xf numFmtId="0" fontId="8" fillId="0" borderId="25" xfId="0" applyFont="1" applyBorder="1" applyAlignment="1" applyProtection="1">
      <alignment vertical="top"/>
      <protection locked="0"/>
    </xf>
    <xf numFmtId="0" fontId="8" fillId="5" borderId="18" xfId="0" applyFont="1" applyFill="1" applyBorder="1" applyAlignment="1" applyProtection="1">
      <alignment vertical="top"/>
      <protection locked="0"/>
    </xf>
    <xf numFmtId="0" fontId="8" fillId="0" borderId="25" xfId="0" quotePrefix="1" applyFont="1" applyBorder="1" applyAlignment="1" applyProtection="1">
      <alignment vertical="top" wrapText="1"/>
      <protection locked="0"/>
    </xf>
    <xf numFmtId="0" fontId="2" fillId="0" borderId="21" xfId="0" applyFont="1" applyBorder="1" applyAlignment="1" applyProtection="1">
      <alignment vertical="top" wrapText="1"/>
      <protection locked="0"/>
    </xf>
    <xf numFmtId="0" fontId="2" fillId="0" borderId="27" xfId="0" applyFont="1" applyBorder="1" applyAlignment="1" applyProtection="1">
      <alignment vertical="top"/>
      <protection locked="0"/>
    </xf>
    <xf numFmtId="0" fontId="2" fillId="0" borderId="5" xfId="0" applyFont="1" applyBorder="1" applyAlignment="1" applyProtection="1">
      <alignment horizontal="center" vertical="center"/>
      <protection locked="0"/>
    </xf>
    <xf numFmtId="0" fontId="2" fillId="0" borderId="6" xfId="0" applyFont="1" applyBorder="1" applyAlignment="1" applyProtection="1">
      <alignment horizontal="center" vertical="center"/>
      <protection locked="0"/>
    </xf>
    <xf numFmtId="0" fontId="8" fillId="5" borderId="21" xfId="0" applyFont="1" applyFill="1" applyBorder="1" applyAlignment="1" applyProtection="1">
      <alignment vertical="top"/>
      <protection locked="0"/>
    </xf>
    <xf numFmtId="0" fontId="10" fillId="2" borderId="46" xfId="0" applyFont="1" applyFill="1" applyBorder="1" applyAlignment="1" applyProtection="1">
      <alignment vertical="top"/>
      <protection locked="0"/>
    </xf>
    <xf numFmtId="0" fontId="11" fillId="2" borderId="44" xfId="0" applyFont="1" applyFill="1" applyBorder="1" applyAlignment="1" applyProtection="1">
      <alignment vertical="top"/>
      <protection locked="0"/>
    </xf>
    <xf numFmtId="49" fontId="11" fillId="2" borderId="23" xfId="0" applyNumberFormat="1" applyFont="1" applyFill="1" applyBorder="1" applyAlignment="1" applyProtection="1">
      <alignment vertical="top"/>
      <protection locked="0"/>
    </xf>
    <xf numFmtId="0" fontId="2" fillId="0" borderId="38" xfId="0" applyFont="1" applyBorder="1" applyAlignment="1" applyProtection="1">
      <alignment vertical="top" wrapText="1"/>
      <protection locked="0"/>
    </xf>
    <xf numFmtId="0" fontId="2" fillId="0" borderId="25" xfId="0" applyFont="1" applyBorder="1" applyAlignment="1" applyProtection="1">
      <alignment vertical="top" wrapText="1"/>
      <protection locked="0"/>
    </xf>
    <xf numFmtId="0" fontId="12" fillId="0" borderId="0" xfId="0" applyFont="1" applyAlignment="1" applyProtection="1">
      <alignment horizontal="left" vertical="top" readingOrder="1"/>
      <protection locked="0"/>
    </xf>
    <xf numFmtId="0" fontId="11" fillId="2" borderId="23" xfId="0" applyFont="1" applyFill="1" applyBorder="1" applyAlignment="1" applyProtection="1">
      <alignment vertical="top"/>
      <protection locked="0"/>
    </xf>
    <xf numFmtId="0" fontId="2" fillId="0" borderId="50" xfId="0" applyFont="1" applyBorder="1" applyAlignment="1" applyProtection="1">
      <alignment vertical="top"/>
      <protection locked="0"/>
    </xf>
    <xf numFmtId="0" fontId="2" fillId="0" borderId="7" xfId="0" applyFont="1" applyBorder="1" applyAlignment="1" applyProtection="1">
      <alignment vertical="top" wrapText="1"/>
      <protection locked="0"/>
    </xf>
    <xf numFmtId="0" fontId="11" fillId="0" borderId="2" xfId="0" applyFont="1" applyBorder="1" applyAlignment="1" applyProtection="1">
      <alignment vertical="top"/>
      <protection locked="0"/>
    </xf>
    <xf numFmtId="0" fontId="6" fillId="0" borderId="5" xfId="0" applyFont="1" applyBorder="1" applyAlignment="1" applyProtection="1">
      <alignment vertical="top"/>
      <protection locked="0"/>
    </xf>
    <xf numFmtId="0" fontId="2" fillId="0" borderId="31" xfId="0" applyFont="1" applyBorder="1" applyAlignment="1" applyProtection="1">
      <alignment vertical="top"/>
      <protection locked="0"/>
    </xf>
    <xf numFmtId="0" fontId="2" fillId="0" borderId="33" xfId="0" applyFont="1" applyBorder="1" applyAlignment="1" applyProtection="1">
      <alignment vertical="top"/>
      <protection locked="0"/>
    </xf>
    <xf numFmtId="14" fontId="2" fillId="4" borderId="2" xfId="0" applyNumberFormat="1" applyFont="1" applyFill="1" applyBorder="1" applyAlignment="1" applyProtection="1">
      <alignment horizontal="center" vertical="center" wrapText="1"/>
      <protection locked="0"/>
    </xf>
    <xf numFmtId="0" fontId="8" fillId="0" borderId="2" xfId="0" applyFont="1" applyBorder="1" applyAlignment="1" applyProtection="1">
      <alignment horizontal="center" vertical="center" wrapText="1"/>
      <protection locked="0"/>
    </xf>
    <xf numFmtId="14" fontId="8" fillId="0" borderId="4" xfId="0" applyNumberFormat="1" applyFont="1" applyBorder="1" applyAlignment="1" applyProtection="1">
      <alignment vertical="center"/>
      <protection locked="0"/>
    </xf>
    <xf numFmtId="0" fontId="8" fillId="0" borderId="7" xfId="0" applyFont="1" applyBorder="1" applyAlignment="1" applyProtection="1">
      <alignment vertical="top"/>
      <protection locked="0"/>
    </xf>
    <xf numFmtId="0" fontId="2" fillId="0" borderId="10" xfId="0" applyFont="1" applyBorder="1" applyAlignment="1" applyProtection="1">
      <alignment vertical="top"/>
      <protection locked="0"/>
    </xf>
    <xf numFmtId="0" fontId="2" fillId="0" borderId="1" xfId="0" applyFont="1" applyBorder="1" applyAlignment="1" applyProtection="1">
      <alignment vertical="top"/>
      <protection locked="0"/>
    </xf>
    <xf numFmtId="0" fontId="2" fillId="0" borderId="42" xfId="0" applyFont="1" applyBorder="1" applyAlignment="1" applyProtection="1">
      <alignment vertical="top"/>
      <protection locked="0"/>
    </xf>
    <xf numFmtId="0" fontId="8" fillId="0" borderId="4" xfId="0" applyFont="1" applyBorder="1" applyAlignment="1" applyProtection="1">
      <alignment vertical="center"/>
      <protection locked="0"/>
    </xf>
    <xf numFmtId="0" fontId="2" fillId="4" borderId="52" xfId="0" applyFont="1" applyFill="1" applyBorder="1" applyAlignment="1" applyProtection="1">
      <alignment vertical="top"/>
      <protection locked="0"/>
    </xf>
    <xf numFmtId="0" fontId="2" fillId="4" borderId="53" xfId="0" applyFont="1" applyFill="1" applyBorder="1" applyAlignment="1" applyProtection="1">
      <alignment vertical="top"/>
      <protection locked="0"/>
    </xf>
    <xf numFmtId="0" fontId="2" fillId="4" borderId="54" xfId="0" applyFont="1" applyFill="1" applyBorder="1" applyAlignment="1" applyProtection="1">
      <alignment vertical="top"/>
      <protection locked="0"/>
    </xf>
    <xf numFmtId="0" fontId="2" fillId="4" borderId="55" xfId="0" applyFont="1" applyFill="1" applyBorder="1" applyAlignment="1" applyProtection="1">
      <alignment vertical="top"/>
      <protection locked="0"/>
    </xf>
    <xf numFmtId="0" fontId="2" fillId="4" borderId="56" xfId="0" applyFont="1" applyFill="1" applyBorder="1" applyAlignment="1" applyProtection="1">
      <alignment vertical="top"/>
      <protection locked="0"/>
    </xf>
    <xf numFmtId="0" fontId="8" fillId="0" borderId="57" xfId="0" applyFont="1" applyBorder="1" applyAlignment="1" applyProtection="1">
      <alignment vertical="top"/>
      <protection locked="0"/>
    </xf>
    <xf numFmtId="0" fontId="6" fillId="0" borderId="2" xfId="0" applyFont="1" applyBorder="1" applyAlignment="1">
      <alignment vertical="top"/>
    </xf>
    <xf numFmtId="0" fontId="2" fillId="0" borderId="61" xfId="0" applyFont="1" applyBorder="1" applyAlignment="1" applyProtection="1">
      <alignment vertical="top" wrapText="1"/>
      <protection locked="0"/>
    </xf>
    <xf numFmtId="0" fontId="5" fillId="3" borderId="60" xfId="0" applyFont="1" applyFill="1" applyBorder="1" applyAlignment="1" applyProtection="1">
      <alignment vertical="center" wrapText="1"/>
      <protection locked="0"/>
    </xf>
    <xf numFmtId="0" fontId="2" fillId="0" borderId="10" xfId="0" applyFont="1" applyBorder="1" applyAlignment="1" applyProtection="1">
      <alignment vertical="top" wrapText="1"/>
      <protection locked="0"/>
    </xf>
    <xf numFmtId="0" fontId="8" fillId="0" borderId="10" xfId="0" applyFont="1" applyBorder="1" applyAlignment="1" applyProtection="1">
      <alignment vertical="top" wrapText="1"/>
      <protection locked="0"/>
    </xf>
    <xf numFmtId="164" fontId="8" fillId="0" borderId="0" xfId="0" applyNumberFormat="1" applyFont="1" applyAlignment="1">
      <alignment horizontal="center" vertical="center"/>
    </xf>
    <xf numFmtId="14" fontId="1" fillId="4" borderId="2" xfId="0" applyNumberFormat="1" applyFont="1" applyFill="1" applyBorder="1" applyAlignment="1" applyProtection="1">
      <alignment horizontal="center" vertical="center" wrapText="1"/>
      <protection locked="0"/>
    </xf>
    <xf numFmtId="0" fontId="1" fillId="0" borderId="4" xfId="0" applyFont="1" applyBorder="1" applyAlignment="1" applyProtection="1">
      <alignment vertical="top" wrapText="1"/>
      <protection locked="0"/>
    </xf>
    <xf numFmtId="0" fontId="2" fillId="0" borderId="54" xfId="0" applyFont="1" applyBorder="1" applyAlignment="1" applyProtection="1">
      <alignment vertical="top"/>
      <protection locked="0"/>
    </xf>
    <xf numFmtId="0" fontId="6" fillId="0" borderId="4" xfId="0" applyFont="1" applyBorder="1" applyAlignment="1" applyProtection="1">
      <alignment vertical="top"/>
      <protection locked="0"/>
    </xf>
    <xf numFmtId="0" fontId="2" fillId="0" borderId="60" xfId="0" applyFont="1" applyBorder="1" applyAlignment="1" applyProtection="1">
      <alignment vertical="center" wrapText="1"/>
      <protection locked="0"/>
    </xf>
    <xf numFmtId="0" fontId="2" fillId="0" borderId="4" xfId="0" applyFont="1" applyBorder="1" applyAlignment="1" applyProtection="1">
      <alignment horizontal="center" vertical="center"/>
      <protection locked="0"/>
    </xf>
    <xf numFmtId="0" fontId="2" fillId="0" borderId="84" xfId="0" applyFont="1" applyBorder="1" applyAlignment="1" applyProtection="1">
      <alignment horizontal="center" vertical="center"/>
      <protection locked="0"/>
    </xf>
    <xf numFmtId="0" fontId="6" fillId="0" borderId="80" xfId="0" applyFont="1" applyBorder="1" applyAlignment="1" applyProtection="1">
      <alignment vertical="top"/>
      <protection locked="0"/>
    </xf>
    <xf numFmtId="0" fontId="6" fillId="0" borderId="68" xfId="0" applyFont="1" applyBorder="1" applyAlignment="1" applyProtection="1">
      <alignment vertical="top"/>
      <protection locked="0"/>
    </xf>
    <xf numFmtId="0" fontId="2" fillId="0" borderId="85" xfId="0" applyFont="1" applyBorder="1" applyAlignment="1" applyProtection="1">
      <alignment horizontal="center" vertical="center" wrapText="1"/>
      <protection locked="0"/>
    </xf>
    <xf numFmtId="0" fontId="5" fillId="3" borderId="9" xfId="0" applyFont="1" applyFill="1" applyBorder="1" applyAlignment="1" applyProtection="1">
      <alignment vertical="center" wrapText="1"/>
      <protection locked="0"/>
    </xf>
    <xf numFmtId="0" fontId="5" fillId="3" borderId="10" xfId="0" applyFont="1" applyFill="1" applyBorder="1" applyAlignment="1" applyProtection="1">
      <alignment vertical="center" wrapText="1"/>
      <protection locked="0"/>
    </xf>
    <xf numFmtId="0" fontId="5" fillId="3" borderId="82" xfId="0" applyFont="1" applyFill="1" applyBorder="1" applyAlignment="1" applyProtection="1">
      <alignment horizontal="center" vertical="center" wrapText="1"/>
      <protection locked="0"/>
    </xf>
    <xf numFmtId="0" fontId="5" fillId="3" borderId="83" xfId="0" applyFont="1" applyFill="1" applyBorder="1" applyAlignment="1" applyProtection="1">
      <alignment horizontal="center" vertical="center"/>
      <protection locked="0"/>
    </xf>
    <xf numFmtId="0" fontId="15" fillId="0" borderId="2" xfId="1" applyFont="1" applyBorder="1" applyAlignment="1" applyProtection="1">
      <alignment vertical="top" wrapText="1"/>
      <protection locked="0"/>
    </xf>
    <xf numFmtId="0" fontId="6" fillId="5" borderId="2" xfId="0" applyFont="1" applyFill="1" applyBorder="1" applyAlignment="1" applyProtection="1">
      <alignment vertical="top"/>
      <protection locked="0"/>
    </xf>
    <xf numFmtId="0" fontId="7" fillId="5" borderId="2" xfId="0" applyFont="1" applyFill="1" applyBorder="1" applyAlignment="1" applyProtection="1">
      <alignment vertical="top"/>
      <protection locked="0"/>
    </xf>
    <xf numFmtId="0" fontId="2" fillId="5" borderId="2" xfId="0" applyFont="1" applyFill="1" applyBorder="1" applyAlignment="1" applyProtection="1">
      <alignment vertical="top"/>
      <protection locked="0"/>
    </xf>
    <xf numFmtId="0" fontId="8" fillId="0" borderId="90" xfId="0" applyFont="1" applyBorder="1" applyAlignment="1" applyProtection="1">
      <alignment vertical="top"/>
      <protection locked="0"/>
    </xf>
    <xf numFmtId="0" fontId="8" fillId="0" borderId="91" xfId="0" applyFont="1" applyBorder="1" applyAlignment="1" applyProtection="1">
      <alignment vertical="top"/>
      <protection locked="0"/>
    </xf>
    <xf numFmtId="0" fontId="8" fillId="0" borderId="93" xfId="0" applyFont="1" applyBorder="1" applyAlignment="1" applyProtection="1">
      <alignment vertical="top"/>
      <protection locked="0"/>
    </xf>
    <xf numFmtId="0" fontId="2" fillId="0" borderId="96" xfId="0" applyFont="1" applyBorder="1" applyAlignment="1" applyProtection="1">
      <alignment vertical="top"/>
      <protection locked="0"/>
    </xf>
    <xf numFmtId="0" fontId="2" fillId="0" borderId="7" xfId="0" applyFont="1" applyBorder="1" applyAlignment="1" applyProtection="1">
      <alignment vertical="top"/>
      <protection locked="0"/>
    </xf>
    <xf numFmtId="164" fontId="8" fillId="0" borderId="94" xfId="0" applyNumberFormat="1" applyFont="1" applyBorder="1" applyAlignment="1">
      <alignment vertical="top"/>
    </xf>
    <xf numFmtId="0" fontId="11" fillId="0" borderId="18" xfId="0" applyFont="1" applyBorder="1" applyAlignment="1" applyProtection="1">
      <alignment horizontal="center" vertical="top"/>
      <protection locked="0"/>
    </xf>
    <xf numFmtId="0" fontId="8" fillId="2" borderId="45" xfId="0" applyFont="1" applyFill="1" applyBorder="1" applyAlignment="1" applyProtection="1">
      <alignment vertical="top" wrapText="1"/>
      <protection locked="0"/>
    </xf>
    <xf numFmtId="0" fontId="8" fillId="2" borderId="47" xfId="0" applyFont="1" applyFill="1" applyBorder="1" applyAlignment="1" applyProtection="1">
      <alignment vertical="top" wrapText="1"/>
      <protection locked="0"/>
    </xf>
    <xf numFmtId="49" fontId="2" fillId="7" borderId="23" xfId="0" applyNumberFormat="1" applyFont="1" applyFill="1" applyBorder="1" applyAlignment="1" applyProtection="1">
      <alignment vertical="top"/>
      <protection locked="0"/>
    </xf>
    <xf numFmtId="49" fontId="2" fillId="7" borderId="40" xfId="0" applyNumberFormat="1" applyFont="1" applyFill="1" applyBorder="1" applyAlignment="1" applyProtection="1">
      <alignment vertical="top"/>
      <protection locked="0"/>
    </xf>
    <xf numFmtId="164" fontId="2" fillId="7" borderId="23" xfId="0" applyNumberFormat="1" applyFont="1" applyFill="1" applyBorder="1" applyAlignment="1" applyProtection="1">
      <alignment vertical="top"/>
      <protection locked="0"/>
    </xf>
    <xf numFmtId="0" fontId="16" fillId="0" borderId="2" xfId="0" applyFont="1" applyBorder="1" applyAlignment="1" applyProtection="1">
      <alignment vertical="top" wrapText="1"/>
      <protection locked="0"/>
    </xf>
    <xf numFmtId="165" fontId="2" fillId="4" borderId="19" xfId="0" applyNumberFormat="1" applyFont="1" applyFill="1" applyBorder="1" applyAlignment="1" applyProtection="1">
      <alignment vertical="top"/>
      <protection locked="0"/>
    </xf>
    <xf numFmtId="165" fontId="2" fillId="0" borderId="20" xfId="0" applyNumberFormat="1" applyFont="1" applyBorder="1" applyAlignment="1">
      <alignment vertical="top"/>
    </xf>
    <xf numFmtId="165" fontId="2" fillId="4" borderId="22" xfId="0" applyNumberFormat="1" applyFont="1" applyFill="1" applyBorder="1" applyAlignment="1" applyProtection="1">
      <alignment vertical="top"/>
      <protection locked="0"/>
    </xf>
    <xf numFmtId="165" fontId="2" fillId="0" borderId="23" xfId="0" applyNumberFormat="1" applyFont="1" applyBorder="1" applyAlignment="1">
      <alignment vertical="top"/>
    </xf>
    <xf numFmtId="165" fontId="9" fillId="5" borderId="22" xfId="0" applyNumberFormat="1" applyFont="1" applyFill="1" applyBorder="1" applyAlignment="1">
      <alignment vertical="top"/>
    </xf>
    <xf numFmtId="165" fontId="9" fillId="5" borderId="23" xfId="0" applyNumberFormat="1" applyFont="1" applyFill="1" applyBorder="1" applyAlignment="1">
      <alignment vertical="top"/>
    </xf>
    <xf numFmtId="165" fontId="8" fillId="5" borderId="22" xfId="0" applyNumberFormat="1" applyFont="1" applyFill="1" applyBorder="1" applyAlignment="1">
      <alignment vertical="top"/>
    </xf>
    <xf numFmtId="165" fontId="8" fillId="5" borderId="23" xfId="0" applyNumberFormat="1" applyFont="1" applyFill="1" applyBorder="1" applyAlignment="1">
      <alignment vertical="top"/>
    </xf>
    <xf numFmtId="165" fontId="2" fillId="4" borderId="39" xfId="0" applyNumberFormat="1" applyFont="1" applyFill="1" applyBorder="1" applyAlignment="1" applyProtection="1">
      <alignment vertical="top"/>
      <protection locked="0"/>
    </xf>
    <xf numFmtId="165" fontId="2" fillId="0" borderId="40" xfId="0" applyNumberFormat="1" applyFont="1" applyBorder="1" applyAlignment="1">
      <alignment vertical="top"/>
    </xf>
    <xf numFmtId="165" fontId="8" fillId="0" borderId="26" xfId="0" applyNumberFormat="1" applyFont="1" applyBorder="1" applyAlignment="1">
      <alignment vertical="top"/>
    </xf>
    <xf numFmtId="165" fontId="8" fillId="0" borderId="24" xfId="0" applyNumberFormat="1" applyFont="1" applyBorder="1" applyAlignment="1">
      <alignment vertical="top"/>
    </xf>
    <xf numFmtId="165" fontId="8" fillId="5" borderId="19" xfId="0" applyNumberFormat="1" applyFont="1" applyFill="1" applyBorder="1" applyAlignment="1">
      <alignment vertical="top"/>
    </xf>
    <xf numFmtId="165" fontId="8" fillId="5" borderId="20" xfId="0" applyNumberFormat="1" applyFont="1" applyFill="1" applyBorder="1" applyAlignment="1">
      <alignment vertical="top"/>
    </xf>
    <xf numFmtId="165" fontId="2" fillId="0" borderId="39" xfId="0" applyNumberFormat="1" applyFont="1" applyBorder="1" applyAlignment="1">
      <alignment vertical="top"/>
    </xf>
    <xf numFmtId="165" fontId="2" fillId="0" borderId="19" xfId="0" applyNumberFormat="1" applyFont="1" applyBorder="1" applyAlignment="1">
      <alignment vertical="top"/>
    </xf>
    <xf numFmtId="165" fontId="2" fillId="6" borderId="22" xfId="0" applyNumberFormat="1" applyFont="1" applyFill="1" applyBorder="1" applyAlignment="1">
      <alignment vertical="top"/>
    </xf>
    <xf numFmtId="165" fontId="2" fillId="0" borderId="22" xfId="0" applyNumberFormat="1" applyFont="1" applyBorder="1" applyAlignment="1">
      <alignment vertical="top"/>
    </xf>
    <xf numFmtId="165" fontId="2" fillId="0" borderId="28" xfId="0" applyNumberFormat="1" applyFont="1" applyBorder="1" applyAlignment="1">
      <alignment vertical="top"/>
    </xf>
    <xf numFmtId="165" fontId="2" fillId="0" borderId="29" xfId="0" applyNumberFormat="1" applyFont="1" applyBorder="1" applyAlignment="1">
      <alignment vertical="top"/>
    </xf>
    <xf numFmtId="165" fontId="2" fillId="4" borderId="23" xfId="0" applyNumberFormat="1" applyFont="1" applyFill="1" applyBorder="1" applyAlignment="1" applyProtection="1">
      <alignment vertical="top"/>
      <protection locked="0"/>
    </xf>
    <xf numFmtId="165" fontId="2" fillId="4" borderId="40" xfId="0" applyNumberFormat="1" applyFont="1" applyFill="1" applyBorder="1" applyAlignment="1" applyProtection="1">
      <alignment vertical="top"/>
      <protection locked="0"/>
    </xf>
    <xf numFmtId="165" fontId="10" fillId="2" borderId="48" xfId="0" applyNumberFormat="1" applyFont="1" applyFill="1" applyBorder="1" applyAlignment="1" applyProtection="1">
      <alignment vertical="top"/>
      <protection locked="0"/>
    </xf>
    <xf numFmtId="165" fontId="2" fillId="5" borderId="23" xfId="0" applyNumberFormat="1" applyFont="1" applyFill="1" applyBorder="1" applyAlignment="1" applyProtection="1">
      <alignment vertical="top"/>
      <protection locked="0"/>
    </xf>
    <xf numFmtId="165" fontId="2" fillId="0" borderId="49" xfId="0" applyNumberFormat="1" applyFont="1" applyBorder="1" applyAlignment="1">
      <alignment vertical="top"/>
    </xf>
    <xf numFmtId="165" fontId="8" fillId="0" borderId="2" xfId="0" applyNumberFormat="1" applyFont="1" applyBorder="1" applyAlignment="1">
      <alignment vertical="top"/>
    </xf>
    <xf numFmtId="165" fontId="2" fillId="4" borderId="66" xfId="0" applyNumberFormat="1" applyFont="1" applyFill="1" applyBorder="1" applyAlignment="1" applyProtection="1">
      <alignment vertical="top"/>
      <protection locked="0"/>
    </xf>
    <xf numFmtId="165" fontId="2" fillId="4" borderId="67" xfId="0" applyNumberFormat="1" applyFont="1" applyFill="1" applyBorder="1" applyAlignment="1" applyProtection="1">
      <alignment vertical="top"/>
      <protection locked="0"/>
    </xf>
    <xf numFmtId="165" fontId="6" fillId="5" borderId="79" xfId="0" applyNumberFormat="1" applyFont="1" applyFill="1" applyBorder="1" applyAlignment="1">
      <alignment vertical="top"/>
    </xf>
    <xf numFmtId="165" fontId="8" fillId="0" borderId="78" xfId="0" applyNumberFormat="1" applyFont="1" applyBorder="1" applyAlignment="1">
      <alignment vertical="top"/>
    </xf>
    <xf numFmtId="165" fontId="2" fillId="0" borderId="70" xfId="0" applyNumberFormat="1" applyFont="1" applyBorder="1" applyAlignment="1">
      <alignment vertical="top"/>
    </xf>
    <xf numFmtId="165" fontId="8" fillId="0" borderId="62" xfId="0" applyNumberFormat="1" applyFont="1" applyBorder="1" applyAlignment="1">
      <alignment vertical="top"/>
    </xf>
    <xf numFmtId="165" fontId="2" fillId="0" borderId="72" xfId="0" applyNumberFormat="1" applyFont="1" applyBorder="1" applyAlignment="1">
      <alignment vertical="top"/>
    </xf>
    <xf numFmtId="165" fontId="8" fillId="0" borderId="63" xfId="0" applyNumberFormat="1" applyFont="1" applyBorder="1" applyAlignment="1">
      <alignment vertical="top"/>
    </xf>
    <xf numFmtId="165" fontId="2" fillId="0" borderId="74" xfId="0" applyNumberFormat="1" applyFont="1" applyBorder="1" applyAlignment="1">
      <alignment vertical="top"/>
    </xf>
    <xf numFmtId="165" fontId="8" fillId="0" borderId="86" xfId="0" applyNumberFormat="1" applyFont="1" applyBorder="1" applyAlignment="1">
      <alignment vertical="top"/>
    </xf>
    <xf numFmtId="165" fontId="2" fillId="0" borderId="76" xfId="0" applyNumberFormat="1" applyFont="1" applyBorder="1" applyAlignment="1">
      <alignment vertical="top"/>
    </xf>
    <xf numFmtId="165" fontId="8" fillId="0" borderId="87" xfId="0" applyNumberFormat="1" applyFont="1" applyBorder="1" applyAlignment="1">
      <alignment vertical="top"/>
    </xf>
    <xf numFmtId="165" fontId="2" fillId="4" borderId="8" xfId="0" applyNumberFormat="1" applyFont="1" applyFill="1" applyBorder="1" applyAlignment="1" applyProtection="1">
      <alignment vertical="top"/>
      <protection locked="0"/>
    </xf>
    <xf numFmtId="165" fontId="8" fillId="0" borderId="8" xfId="0" applyNumberFormat="1" applyFont="1" applyBorder="1" applyAlignment="1">
      <alignment vertical="top"/>
    </xf>
    <xf numFmtId="165" fontId="2" fillId="4" borderId="12" xfId="0" applyNumberFormat="1" applyFont="1" applyFill="1" applyBorder="1" applyAlignment="1" applyProtection="1">
      <alignment vertical="top"/>
      <protection locked="0"/>
    </xf>
    <xf numFmtId="165" fontId="2" fillId="4" borderId="13" xfId="0" applyNumberFormat="1" applyFont="1" applyFill="1" applyBorder="1" applyAlignment="1" applyProtection="1">
      <alignment vertical="top"/>
      <protection locked="0"/>
    </xf>
    <xf numFmtId="165" fontId="2" fillId="4" borderId="14" xfId="0" applyNumberFormat="1" applyFont="1" applyFill="1" applyBorder="1" applyAlignment="1" applyProtection="1">
      <alignment vertical="top"/>
      <protection locked="0"/>
    </xf>
    <xf numFmtId="165" fontId="8" fillId="0" borderId="10" xfId="0" applyNumberFormat="1" applyFont="1" applyBorder="1" applyAlignment="1">
      <alignment vertical="top"/>
    </xf>
    <xf numFmtId="165" fontId="2" fillId="4" borderId="15" xfId="0" applyNumberFormat="1" applyFont="1" applyFill="1" applyBorder="1" applyAlignment="1" applyProtection="1">
      <alignment vertical="top"/>
      <protection locked="0"/>
    </xf>
    <xf numFmtId="165" fontId="2" fillId="4" borderId="16" xfId="0" applyNumberFormat="1" applyFont="1" applyFill="1" applyBorder="1" applyAlignment="1" applyProtection="1">
      <alignment vertical="top"/>
      <protection locked="0"/>
    </xf>
    <xf numFmtId="165" fontId="2" fillId="4" borderId="17" xfId="0" applyNumberFormat="1" applyFont="1" applyFill="1" applyBorder="1" applyAlignment="1" applyProtection="1">
      <alignment vertical="top"/>
      <protection locked="0"/>
    </xf>
    <xf numFmtId="165" fontId="8" fillId="0" borderId="11" xfId="0" applyNumberFormat="1" applyFont="1" applyBorder="1" applyAlignment="1">
      <alignment vertical="top"/>
    </xf>
    <xf numFmtId="165" fontId="2" fillId="4" borderId="36" xfId="0" applyNumberFormat="1" applyFont="1" applyFill="1" applyBorder="1" applyAlignment="1" applyProtection="1">
      <alignment vertical="top"/>
      <protection locked="0"/>
    </xf>
    <xf numFmtId="165" fontId="2" fillId="4" borderId="37" xfId="0" applyNumberFormat="1" applyFont="1" applyFill="1" applyBorder="1" applyAlignment="1" applyProtection="1">
      <alignment vertical="top"/>
      <protection locked="0"/>
    </xf>
    <xf numFmtId="165" fontId="2" fillId="4" borderId="43" xfId="0" applyNumberFormat="1" applyFont="1" applyFill="1" applyBorder="1" applyAlignment="1" applyProtection="1">
      <alignment vertical="top"/>
      <protection locked="0"/>
    </xf>
    <xf numFmtId="165" fontId="8" fillId="0" borderId="41" xfId="0" applyNumberFormat="1" applyFont="1" applyBorder="1" applyAlignment="1">
      <alignment vertical="top"/>
    </xf>
    <xf numFmtId="165" fontId="8" fillId="5" borderId="89" xfId="0" applyNumberFormat="1" applyFont="1" applyFill="1" applyBorder="1" applyAlignment="1">
      <alignment vertical="top"/>
    </xf>
    <xf numFmtId="165" fontId="8" fillId="0" borderId="9" xfId="0" applyNumberFormat="1" applyFont="1" applyBorder="1" applyAlignment="1">
      <alignment vertical="top"/>
    </xf>
    <xf numFmtId="165" fontId="8" fillId="5" borderId="95" xfId="0" applyNumberFormat="1" applyFont="1" applyFill="1" applyBorder="1" applyAlignment="1">
      <alignment vertical="top"/>
    </xf>
    <xf numFmtId="165" fontId="8" fillId="0" borderId="92" xfId="0" applyNumberFormat="1" applyFont="1" applyBorder="1" applyAlignment="1">
      <alignment vertical="top"/>
    </xf>
    <xf numFmtId="165" fontId="8" fillId="0" borderId="94" xfId="0" applyNumberFormat="1" applyFont="1" applyBorder="1" applyAlignment="1">
      <alignment vertical="top"/>
    </xf>
    <xf numFmtId="165" fontId="8" fillId="0" borderId="23" xfId="0" applyNumberFormat="1" applyFont="1" applyBorder="1" applyAlignment="1">
      <alignment vertical="top"/>
    </xf>
    <xf numFmtId="165" fontId="2" fillId="4" borderId="30" xfId="0" applyNumberFormat="1" applyFont="1" applyFill="1" applyBorder="1" applyAlignment="1" applyProtection="1">
      <alignment vertical="top"/>
      <protection locked="0"/>
    </xf>
    <xf numFmtId="165" fontId="8" fillId="0" borderId="32" xfId="0" applyNumberFormat="1" applyFont="1" applyBorder="1" applyAlignment="1">
      <alignment vertical="top"/>
    </xf>
    <xf numFmtId="165" fontId="2" fillId="4" borderId="34" xfId="0" applyNumberFormat="1" applyFont="1" applyFill="1" applyBorder="1" applyAlignment="1" applyProtection="1">
      <alignment vertical="top"/>
      <protection locked="0"/>
    </xf>
    <xf numFmtId="165" fontId="8" fillId="0" borderId="35" xfId="0" applyNumberFormat="1" applyFont="1" applyBorder="1" applyAlignment="1">
      <alignment vertical="top"/>
    </xf>
    <xf numFmtId="165" fontId="2" fillId="0" borderId="92" xfId="0" applyNumberFormat="1" applyFont="1" applyBorder="1" applyAlignment="1">
      <alignment vertical="top"/>
    </xf>
    <xf numFmtId="165" fontId="2" fillId="4" borderId="51" xfId="0" applyNumberFormat="1" applyFont="1" applyFill="1" applyBorder="1" applyAlignment="1" applyProtection="1">
      <alignment vertical="top"/>
      <protection locked="0"/>
    </xf>
    <xf numFmtId="166" fontId="2" fillId="4" borderId="2" xfId="0" applyNumberFormat="1" applyFont="1" applyFill="1" applyBorder="1" applyAlignment="1" applyProtection="1">
      <alignment horizontal="center" vertical="center" wrapText="1"/>
      <protection locked="0"/>
    </xf>
    <xf numFmtId="0" fontId="2" fillId="4" borderId="19" xfId="0" applyFont="1" applyFill="1" applyBorder="1" applyAlignment="1" applyProtection="1">
      <alignment vertical="top"/>
      <protection locked="0"/>
    </xf>
    <xf numFmtId="0" fontId="2" fillId="4" borderId="20" xfId="0" applyFont="1" applyFill="1" applyBorder="1" applyAlignment="1" applyProtection="1">
      <alignment vertical="top"/>
      <protection locked="0"/>
    </xf>
    <xf numFmtId="0" fontId="2" fillId="4" borderId="28" xfId="0" applyFont="1" applyFill="1" applyBorder="1" applyAlignment="1" applyProtection="1">
      <alignment vertical="top"/>
      <protection locked="0"/>
    </xf>
    <xf numFmtId="0" fontId="2" fillId="4" borderId="29" xfId="0" applyFont="1" applyFill="1" applyBorder="1" applyAlignment="1" applyProtection="1">
      <alignment vertical="top"/>
      <protection locked="0"/>
    </xf>
    <xf numFmtId="165" fontId="2" fillId="4" borderId="26" xfId="0" applyNumberFormat="1" applyFont="1" applyFill="1" applyBorder="1" applyAlignment="1" applyProtection="1">
      <alignment vertical="top"/>
      <protection locked="0"/>
    </xf>
    <xf numFmtId="165" fontId="8" fillId="0" borderId="99" xfId="0" applyNumberFormat="1" applyFont="1" applyBorder="1" applyAlignment="1">
      <alignment vertical="top"/>
    </xf>
    <xf numFmtId="165" fontId="8" fillId="0" borderId="101" xfId="0" applyNumberFormat="1" applyFont="1" applyBorder="1" applyAlignment="1">
      <alignment vertical="top"/>
    </xf>
    <xf numFmtId="0" fontId="2" fillId="0" borderId="98" xfId="0" applyFont="1" applyBorder="1" applyAlignment="1">
      <alignment vertical="top"/>
    </xf>
    <xf numFmtId="165" fontId="2" fillId="0" borderId="97" xfId="0" applyNumberFormat="1" applyFont="1" applyBorder="1" applyAlignment="1">
      <alignment vertical="top"/>
    </xf>
    <xf numFmtId="0" fontId="8" fillId="0" borderId="2" xfId="0" applyFont="1" applyBorder="1" applyAlignment="1">
      <alignment vertical="center"/>
    </xf>
    <xf numFmtId="0" fontId="2" fillId="0" borderId="2" xfId="0" applyFont="1" applyBorder="1" applyAlignment="1">
      <alignment horizontal="center" vertical="center"/>
    </xf>
    <xf numFmtId="0" fontId="8" fillId="0" borderId="100" xfId="0" applyFont="1" applyBorder="1" applyAlignment="1">
      <alignment vertical="top"/>
    </xf>
    <xf numFmtId="0" fontId="6" fillId="0" borderId="3" xfId="0" applyFont="1" applyBorder="1" applyAlignment="1">
      <alignment vertical="top"/>
    </xf>
    <xf numFmtId="0" fontId="5" fillId="3" borderId="60" xfId="0" applyFont="1" applyFill="1" applyBorder="1" applyAlignment="1">
      <alignment vertical="center" wrapText="1"/>
    </xf>
    <xf numFmtId="0" fontId="6" fillId="0" borderId="5" xfId="0" applyFont="1" applyBorder="1" applyAlignment="1">
      <alignment vertical="top"/>
    </xf>
    <xf numFmtId="0" fontId="2" fillId="0" borderId="10" xfId="0" applyFont="1" applyBorder="1" applyAlignment="1">
      <alignment vertical="top" wrapText="1"/>
    </xf>
    <xf numFmtId="0" fontId="16" fillId="0" borderId="2" xfId="0" applyFont="1" applyBorder="1" applyAlignment="1">
      <alignment vertical="top" wrapText="1"/>
    </xf>
    <xf numFmtId="0" fontId="6" fillId="5" borderId="2" xfId="0" applyFont="1" applyFill="1" applyBorder="1" applyAlignment="1">
      <alignment vertical="top"/>
    </xf>
    <xf numFmtId="0" fontId="8" fillId="0" borderId="57" xfId="0" applyFont="1" applyBorder="1" applyAlignment="1">
      <alignment vertical="top"/>
    </xf>
    <xf numFmtId="164" fontId="6" fillId="5" borderId="78" xfId="0" applyNumberFormat="1" applyFont="1" applyFill="1" applyBorder="1" applyAlignment="1">
      <alignment vertical="top"/>
    </xf>
    <xf numFmtId="164" fontId="8" fillId="0" borderId="59" xfId="0" applyNumberFormat="1" applyFont="1" applyBorder="1" applyAlignment="1">
      <alignment vertical="top"/>
    </xf>
    <xf numFmtId="164" fontId="6" fillId="5" borderId="79" xfId="0" applyNumberFormat="1" applyFont="1" applyFill="1" applyBorder="1" applyAlignment="1">
      <alignment vertical="top"/>
    </xf>
    <xf numFmtId="165" fontId="8" fillId="0" borderId="59" xfId="0" applyNumberFormat="1" applyFont="1" applyBorder="1" applyAlignment="1">
      <alignment vertical="top"/>
    </xf>
    <xf numFmtId="0" fontId="8" fillId="0" borderId="58" xfId="0" applyFont="1" applyBorder="1" applyAlignment="1">
      <alignment vertical="top"/>
    </xf>
    <xf numFmtId="0" fontId="8" fillId="0" borderId="0" xfId="0" applyFont="1" applyAlignment="1">
      <alignment vertical="top"/>
    </xf>
    <xf numFmtId="164" fontId="6" fillId="5" borderId="81" xfId="0" applyNumberFormat="1" applyFont="1" applyFill="1" applyBorder="1" applyAlignment="1">
      <alignment vertical="top"/>
    </xf>
    <xf numFmtId="0" fontId="2" fillId="0" borderId="4" xfId="0" applyFont="1" applyBorder="1" applyAlignment="1">
      <alignment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18" xfId="0" applyFont="1" applyBorder="1" applyAlignment="1">
      <alignment vertical="top"/>
    </xf>
    <xf numFmtId="0" fontId="2" fillId="0" borderId="21" xfId="0" applyFont="1" applyBorder="1" applyAlignment="1">
      <alignment vertical="top"/>
    </xf>
    <xf numFmtId="0" fontId="2" fillId="0" borderId="21" xfId="0" applyFont="1" applyBorder="1" applyAlignment="1">
      <alignment vertical="top" wrapText="1"/>
    </xf>
    <xf numFmtId="0" fontId="6" fillId="0" borderId="23" xfId="0" applyFont="1" applyBorder="1" applyAlignment="1">
      <alignment vertical="top"/>
    </xf>
    <xf numFmtId="0" fontId="2" fillId="0" borderId="27" xfId="0" applyFont="1" applyBorder="1" applyAlignment="1">
      <alignment vertical="top" wrapText="1"/>
    </xf>
    <xf numFmtId="0" fontId="6" fillId="0" borderId="29" xfId="0" applyFont="1" applyBorder="1" applyAlignment="1">
      <alignment vertical="top"/>
    </xf>
    <xf numFmtId="7" fontId="8" fillId="0" borderId="100" xfId="0" applyNumberFormat="1" applyFont="1" applyBorder="1" applyAlignment="1">
      <alignment vertical="top"/>
    </xf>
    <xf numFmtId="7" fontId="8" fillId="0" borderId="99" xfId="0" applyNumberFormat="1" applyFont="1" applyBorder="1" applyAlignment="1">
      <alignment vertical="top"/>
    </xf>
    <xf numFmtId="0" fontId="8" fillId="0" borderId="26" xfId="0" applyFont="1" applyBorder="1" applyAlignment="1">
      <alignment vertical="top"/>
    </xf>
    <xf numFmtId="0" fontId="8" fillId="0" borderId="10" xfId="0" applyFont="1" applyBorder="1" applyAlignment="1">
      <alignment vertical="top" wrapText="1"/>
    </xf>
    <xf numFmtId="0" fontId="2" fillId="0" borderId="103" xfId="0" applyFont="1" applyBorder="1" applyAlignment="1" applyProtection="1">
      <alignment vertical="top" wrapText="1"/>
      <protection locked="0"/>
    </xf>
    <xf numFmtId="165" fontId="2" fillId="0" borderId="104" xfId="0" applyNumberFormat="1" applyFont="1" applyBorder="1" applyAlignment="1">
      <alignment vertical="top"/>
    </xf>
    <xf numFmtId="9" fontId="2" fillId="0" borderId="28" xfId="0" applyNumberFormat="1" applyFont="1" applyBorder="1" applyAlignment="1">
      <alignment horizontal="right" vertical="top" wrapText="1"/>
    </xf>
    <xf numFmtId="0" fontId="8" fillId="0" borderId="102" xfId="0" applyFont="1" applyBorder="1" applyAlignment="1">
      <alignment vertical="top" wrapText="1"/>
    </xf>
    <xf numFmtId="0" fontId="8" fillId="0" borderId="8" xfId="0" applyFont="1" applyBorder="1" applyAlignment="1">
      <alignment vertical="top" wrapText="1"/>
    </xf>
    <xf numFmtId="0" fontId="2" fillId="4" borderId="69" xfId="2" applyNumberFormat="1" applyFont="1" applyFill="1" applyBorder="1" applyAlignment="1" applyProtection="1">
      <alignment horizontal="center" vertical="top"/>
      <protection locked="0"/>
    </xf>
    <xf numFmtId="0" fontId="2" fillId="4" borderId="71" xfId="2" applyNumberFormat="1" applyFont="1" applyFill="1" applyBorder="1" applyAlignment="1" applyProtection="1">
      <alignment horizontal="center" vertical="top"/>
      <protection locked="0"/>
    </xf>
    <xf numFmtId="0" fontId="2" fillId="4" borderId="73" xfId="2" applyNumberFormat="1" applyFont="1" applyFill="1" applyBorder="1" applyAlignment="1" applyProtection="1">
      <alignment horizontal="center" vertical="top"/>
      <protection locked="0"/>
    </xf>
    <xf numFmtId="0" fontId="2" fillId="4" borderId="75" xfId="2" applyNumberFormat="1" applyFont="1" applyFill="1" applyBorder="1" applyAlignment="1" applyProtection="1">
      <alignment horizontal="center" vertical="top"/>
      <protection locked="0"/>
    </xf>
    <xf numFmtId="0" fontId="2" fillId="4" borderId="66" xfId="2" applyNumberFormat="1" applyFont="1" applyFill="1" applyBorder="1" applyAlignment="1" applyProtection="1">
      <alignment horizontal="center" vertical="top"/>
      <protection locked="0"/>
    </xf>
    <xf numFmtId="0" fontId="8" fillId="0" borderId="77" xfId="0" applyFont="1" applyBorder="1" applyAlignment="1">
      <alignment horizontal="center" vertical="top"/>
    </xf>
    <xf numFmtId="0" fontId="8" fillId="0" borderId="88" xfId="0" applyFont="1" applyBorder="1" applyAlignment="1">
      <alignment horizontal="center" vertical="top"/>
    </xf>
    <xf numFmtId="49" fontId="8" fillId="4" borderId="64" xfId="0" applyNumberFormat="1" applyFont="1" applyFill="1" applyBorder="1" applyAlignment="1" applyProtection="1">
      <alignment horizontal="center" vertical="center" wrapText="1"/>
      <protection locked="0"/>
    </xf>
    <xf numFmtId="49" fontId="8" fillId="4" borderId="65" xfId="0" applyNumberFormat="1" applyFont="1" applyFill="1" applyBorder="1" applyAlignment="1" applyProtection="1">
      <alignment horizontal="center" vertical="center" wrapText="1"/>
      <protection locked="0"/>
    </xf>
  </cellXfs>
  <cellStyles count="3">
    <cellStyle name="Hyperlinkki" xfId="1" builtinId="8"/>
    <cellStyle name="Normaali" xfId="0" builtinId="0"/>
    <cellStyle name="Pilkku" xfId="2" builtinId="3"/>
  </cellStyles>
  <dxfs count="811">
    <dxf>
      <font>
        <color rgb="FFFF0000"/>
      </font>
      <fill>
        <patternFill patternType="none">
          <fgColor auto="1"/>
          <bgColor auto="1"/>
        </patternFill>
      </fill>
    </dxf>
    <dxf>
      <font>
        <color rgb="FFFF0000"/>
      </font>
      <fill>
        <patternFill patternType="none">
          <fgColor auto="1"/>
          <bgColor auto="1"/>
        </patternFill>
      </fill>
    </dxf>
    <dxf>
      <font>
        <color rgb="FFFF0000"/>
      </font>
      <fill>
        <patternFill patternType="none">
          <fgColor auto="1"/>
          <bgColor auto="1"/>
        </patternFill>
      </fill>
    </dxf>
    <dxf>
      <font>
        <color theme="0"/>
      </font>
      <fill>
        <patternFill>
          <bgColor rgb="FFA00000"/>
        </patternFill>
      </fill>
    </dxf>
    <dxf>
      <fill>
        <patternFill>
          <bgColor theme="9" tint="0.79998168889431442"/>
        </patternFill>
      </fill>
    </dxf>
    <dxf>
      <border diagonalUp="0" diagonalDown="0" outline="0">
        <left style="thin">
          <color theme="0"/>
        </left>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font>
        <b/>
        <i val="0"/>
        <strike val="0"/>
        <condense val="0"/>
        <extend val="0"/>
        <outline val="0"/>
        <shadow val="0"/>
        <u val="none"/>
        <vertAlign val="baseline"/>
        <sz val="12"/>
        <color theme="1"/>
        <name val="Calibri"/>
        <family val="2"/>
        <scheme val="minor"/>
      </font>
      <border diagonalUp="0" diagonalDown="0" outline="0">
        <left/>
        <right style="thin">
          <color theme="0"/>
        </right>
        <top style="thin">
          <color theme="0"/>
        </top>
        <bottom/>
      </border>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top style="thin">
          <color rgb="FFFFFFFF"/>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left/>
        <right/>
        <top style="thin">
          <color theme="0"/>
        </top>
        <bottom/>
        <vertical/>
        <horizontal/>
      </border>
      <protection locked="1" hidden="0"/>
    </dxf>
    <dxf>
      <border outline="0">
        <top style="thin">
          <color rgb="FFFFFFFF"/>
        </top>
      </border>
    </dxf>
    <dxf>
      <border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4"/>
        <color rgb="FF000000"/>
        <name val="Arial"/>
        <family val="2"/>
        <scheme val="none"/>
      </font>
      <alignment horizontal="general" vertical="top" textRotation="0" wrapText="1" indent="0" justifyLastLine="0" shrinkToFit="0" readingOrder="0"/>
      <protection locked="1" hidden="0"/>
    </dxf>
    <dxf>
      <border outline="0">
        <bottom style="thin">
          <color rgb="FFFFFFFF"/>
        </bottom>
      </border>
    </dxf>
    <dxf>
      <font>
        <b/>
        <i val="0"/>
        <strike val="0"/>
        <condense val="0"/>
        <extend val="0"/>
        <outline val="0"/>
        <shadow val="0"/>
        <u val="none"/>
        <vertAlign val="baseline"/>
        <sz val="14"/>
        <color theme="0"/>
        <name val="Arial"/>
        <family val="2"/>
        <scheme val="none"/>
      </font>
      <fill>
        <patternFill patternType="solid">
          <fgColor indexed="64"/>
          <bgColor theme="4" tint="-0.499984740745262"/>
        </patternFill>
      </fill>
      <alignment horizontal="general" vertical="center" textRotation="0" wrapText="1" indent="0" justifyLastLine="0" shrinkToFit="0" readingOrder="0"/>
      <protection locked="1"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left style="thin">
          <color theme="4" tint="0.39994506668294322"/>
        </left>
        <right style="thin">
          <color theme="0"/>
        </right>
        <top style="thin">
          <color theme="4" tint="0.39994506668294322"/>
        </top>
        <bottom/>
      </border>
      <protection locked="1"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vertical/>
        <horizontal/>
      </border>
      <protection locked="0" hidden="0"/>
    </dxf>
    <dxf>
      <border>
        <top style="medium">
          <color rgb="FF2F75B5"/>
        </top>
      </border>
    </dxf>
    <dxf>
      <font>
        <b val="0"/>
        <i val="0"/>
        <strike val="0"/>
        <condense val="0"/>
        <extend val="0"/>
        <outline val="0"/>
        <shadow val="0"/>
        <u val="none"/>
        <vertAlign val="baseline"/>
        <sz val="14"/>
        <color rgb="FF000000"/>
        <name val="Arial"/>
        <family val="2"/>
        <scheme val="none"/>
      </font>
      <numFmt numFmtId="164" formatCode="#,##0\ &quot;€&quot;"/>
      <alignment horizontal="general" vertical="top" textRotation="0" wrapText="0" indent="0" justifyLastLine="0" shrinkToFit="0" readingOrder="0"/>
      <border diagonalUp="0" diagonalDown="0">
        <left style="thin">
          <color rgb="FFFFFFFF"/>
        </left>
        <right style="thin">
          <color rgb="FFFFFFFF"/>
        </right>
        <top/>
        <bottom/>
        <vertical style="thin">
          <color rgb="FFFFFFFF"/>
        </vertical>
        <horizontal/>
      </border>
      <protection locked="1" hidden="0"/>
    </dxf>
    <dxf>
      <border outline="0">
        <right style="thin">
          <color rgb="FFFFFFFF"/>
        </right>
        <top style="thin">
          <color rgb="FFFFFFFF"/>
        </top>
        <bottom style="thin">
          <color rgb="FFFFFFFF"/>
        </bottom>
      </border>
    </dxf>
    <dxf>
      <font>
        <b val="0"/>
        <i val="0"/>
        <strike val="0"/>
        <condense val="0"/>
        <extend val="0"/>
        <outline val="0"/>
        <shadow val="0"/>
        <u val="none"/>
        <vertAlign val="baseline"/>
        <sz val="14"/>
        <color rgb="FF000000"/>
        <name val="Arial"/>
        <family val="2"/>
        <scheme val="none"/>
      </font>
      <numFmt numFmtId="164" formatCode="#,##0\ &quot;€&quot;"/>
      <fill>
        <patternFill patternType="solid">
          <fgColor rgb="FF000000"/>
          <bgColor rgb="FFFFF2CC"/>
        </patternFill>
      </fill>
      <alignment horizontal="general" vertical="top" textRotation="0" wrapText="0" indent="0" justifyLastLine="0" shrinkToFit="0" readingOrder="0"/>
      <protection locked="0" hidden="0"/>
    </dxf>
    <dxf>
      <border outline="0">
        <bottom style="thin">
          <color rgb="FFFFFFFF"/>
        </bottom>
      </border>
    </dxf>
    <dxf>
      <font>
        <b val="0"/>
        <i val="0"/>
        <strike val="0"/>
        <condense val="0"/>
        <extend val="0"/>
        <outline val="0"/>
        <shadow val="0"/>
        <u val="none"/>
        <vertAlign val="baseline"/>
        <sz val="14"/>
        <color theme="1"/>
        <name val="Arial"/>
        <family val="2"/>
        <scheme val="none"/>
      </font>
      <alignment horizontal="center" vertical="center" textRotation="0" wrapText="0" indent="0" justifyLastLine="0" shrinkToFit="0" readingOrder="0"/>
      <border diagonalUp="0" diagonalDown="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right style="thin">
          <color theme="4" tint="0.39994506668294322"/>
        </right>
        <top/>
        <bottom/>
      </border>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style="thin">
          <color theme="0"/>
        </left>
        <right/>
        <top/>
        <bottom/>
      </border>
      <protection locked="1" hidden="0"/>
    </dxf>
    <dxf>
      <border outline="0">
        <top style="thin">
          <color rgb="FFFFFFFF"/>
        </top>
      </border>
    </dxf>
    <dxf>
      <border outline="0">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1" hidden="0"/>
    </dxf>
    <dxf>
      <border>
        <bottom style="thin">
          <color rgb="FFFFFFFF"/>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style="thin">
          <color theme="0"/>
        </top>
        <bottom/>
        <vertical/>
        <horizontal/>
      </border>
      <protection locked="1" hidden="0"/>
    </dxf>
    <dxf>
      <font>
        <b/>
        <i val="0"/>
        <strike val="0"/>
        <condense val="0"/>
        <extend val="0"/>
        <outline val="0"/>
        <shadow val="0"/>
        <u val="none"/>
        <vertAlign val="baseline"/>
        <sz val="12"/>
        <color theme="1"/>
        <name val="Calibri"/>
        <family val="2"/>
        <scheme val="minor"/>
      </font>
      <border diagonalUp="0" diagonalDown="0" outline="0">
        <left/>
        <right style="thin">
          <color theme="0"/>
        </right>
        <top style="thin">
          <color theme="0"/>
        </top>
        <bottom/>
      </border>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top style="thin">
          <color rgb="FFFFFFFF"/>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right style="thin">
          <color theme="0"/>
        </right>
        <top/>
        <bottom/>
      </border>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style="thin">
          <color theme="0"/>
        </top>
        <bottom/>
        <vertical/>
        <horizontal/>
      </border>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0"/>
        </right>
        <top/>
        <bottom/>
      </border>
      <protection locked="0" hidden="0"/>
    </dxf>
    <dxf>
      <border outline="0">
        <top style="thin">
          <color rgb="FFFFFFFF"/>
        </top>
      </border>
    </dxf>
    <dxf>
      <font>
        <strike val="0"/>
        <outline val="0"/>
        <shadow val="0"/>
        <u val="none"/>
        <vertAlign val="baseline"/>
        <sz val="14"/>
        <color rgb="FF000000"/>
        <name val="Arial"/>
        <family val="2"/>
        <scheme val="none"/>
      </font>
      <alignment horizontal="general" vertical="center" textRotation="0" wrapText="0" indent="0" justifyLastLine="0" shrinkToFit="0" readingOrder="0"/>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4" tint="0.39994506668294322"/>
        </left>
        <right style="thin">
          <color theme="0"/>
        </right>
        <top style="thin">
          <color theme="4" tint="0.39994506668294322"/>
        </top>
        <bottom style="thin">
          <color theme="4" tint="0.39994506668294322"/>
        </bottom>
      </border>
      <protection locked="1"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style="medium">
          <color theme="8" tint="-0.24994659260841701"/>
        </top>
        <bottom/>
      </border>
      <protection locked="0" hidden="0"/>
    </dxf>
    <dxf>
      <font>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style="thin">
          <color theme="4" tint="0.39994506668294322"/>
        </bottom>
      </border>
      <protection locked="0" hidden="0"/>
    </dxf>
    <dxf>
      <border>
        <top style="medium">
          <color rgb="FF2F75B5"/>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border diagonalUp="0" diagonalDown="0">
        <left style="thin">
          <color rgb="FFFFFFFF"/>
        </left>
        <right style="thin">
          <color rgb="FFFFFFFF"/>
        </right>
        <top/>
        <bottom/>
        <vertical style="thin">
          <color rgb="FFFFFFFF"/>
        </vertical>
        <horizontal/>
      </border>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bottom style="thin">
          <color theme="0"/>
        </bottom>
      </border>
      <protection locked="0" hidden="0"/>
    </dxf>
    <dxf>
      <font>
        <b/>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top style="thin">
          <color theme="4" tint="0.39997558519241921"/>
        </top>
        <bottom style="thin">
          <color theme="4" tint="0.39997558519241921"/>
        </bottom>
        <vertical/>
        <horizontal/>
      </border>
      <protection locked="0" hidden="0"/>
    </dxf>
    <dxf>
      <border>
        <top style="thin">
          <color rgb="FF4472C4"/>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border diagonalUp="0" diagonalDown="0">
        <left style="thin">
          <color rgb="FFFFFFFF"/>
        </left>
        <right style="thin">
          <color rgb="FFFFFFFF"/>
        </right>
        <top/>
        <bottom/>
      </border>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font>
        <b/>
        <i val="0"/>
        <strike val="0"/>
        <condense val="0"/>
        <extend val="0"/>
        <outline val="0"/>
        <shadow val="0"/>
        <u val="none"/>
        <vertAlign val="baseline"/>
        <sz val="12"/>
        <color theme="1"/>
        <name val="Calibri"/>
        <family val="2"/>
        <scheme val="minor"/>
      </font>
      <border diagonalUp="0" diagonalDown="0" outline="0">
        <left/>
        <right style="thin">
          <color theme="0"/>
        </right>
        <top style="thin">
          <color theme="0"/>
        </top>
        <bottom/>
      </border>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top style="thin">
          <color rgb="FFFFFFFF"/>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left/>
        <right/>
        <top style="thin">
          <color theme="0"/>
        </top>
        <bottom/>
        <vertical/>
        <horizontal/>
      </border>
      <protection locked="1" hidden="0"/>
    </dxf>
    <dxf>
      <border outline="0">
        <top style="thin">
          <color rgb="FFFFFFFF"/>
        </top>
      </border>
    </dxf>
    <dxf>
      <border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4"/>
        <color rgb="FF000000"/>
        <name val="Arial"/>
        <family val="2"/>
        <scheme val="none"/>
      </font>
      <alignment horizontal="general" vertical="top" textRotation="0" wrapText="1" indent="0" justifyLastLine="0" shrinkToFit="0" readingOrder="0"/>
      <protection locked="1" hidden="0"/>
    </dxf>
    <dxf>
      <border outline="0">
        <bottom style="thin">
          <color rgb="FFFFFFFF"/>
        </bottom>
      </border>
    </dxf>
    <dxf>
      <font>
        <b/>
        <i val="0"/>
        <strike val="0"/>
        <condense val="0"/>
        <extend val="0"/>
        <outline val="0"/>
        <shadow val="0"/>
        <u val="none"/>
        <vertAlign val="baseline"/>
        <sz val="14"/>
        <color theme="0"/>
        <name val="Arial"/>
        <family val="2"/>
        <scheme val="none"/>
      </font>
      <fill>
        <patternFill patternType="solid">
          <fgColor indexed="64"/>
          <bgColor theme="4" tint="-0.499984740745262"/>
        </patternFill>
      </fill>
      <alignment horizontal="general" vertical="center" textRotation="0" wrapText="1" indent="0" justifyLastLine="0" shrinkToFit="0" readingOrder="0"/>
      <protection locked="1"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left style="thin">
          <color theme="4" tint="0.39994506668294322"/>
        </left>
        <right style="thin">
          <color theme="0"/>
        </right>
        <top style="thin">
          <color theme="4" tint="0.39994506668294322"/>
        </top>
        <bottom/>
      </border>
      <protection locked="1"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vertical/>
        <horizontal/>
      </border>
      <protection locked="0" hidden="0"/>
    </dxf>
    <dxf>
      <border>
        <top style="medium">
          <color rgb="FF2F75B5"/>
        </top>
      </border>
    </dxf>
    <dxf>
      <font>
        <b val="0"/>
        <i val="0"/>
        <strike val="0"/>
        <condense val="0"/>
        <extend val="0"/>
        <outline val="0"/>
        <shadow val="0"/>
        <u val="none"/>
        <vertAlign val="baseline"/>
        <sz val="14"/>
        <color rgb="FF000000"/>
        <name val="Arial"/>
        <family val="2"/>
        <scheme val="none"/>
      </font>
      <numFmt numFmtId="164" formatCode="#,##0\ &quot;€&quot;"/>
      <alignment horizontal="general" vertical="top" textRotation="0" wrapText="0" indent="0" justifyLastLine="0" shrinkToFit="0" readingOrder="0"/>
      <border diagonalUp="0" diagonalDown="0">
        <left style="thin">
          <color rgb="FFFFFFFF"/>
        </left>
        <right style="thin">
          <color rgb="FFFFFFFF"/>
        </right>
        <top/>
        <bottom/>
        <vertical style="thin">
          <color rgb="FFFFFFFF"/>
        </vertical>
        <horizontal/>
      </border>
      <protection locked="1" hidden="0"/>
    </dxf>
    <dxf>
      <border outline="0">
        <right style="thin">
          <color rgb="FFFFFFFF"/>
        </right>
        <top style="thin">
          <color rgb="FFFFFFFF"/>
        </top>
        <bottom style="thin">
          <color rgb="FFFFFFFF"/>
        </bottom>
      </border>
    </dxf>
    <dxf>
      <font>
        <b val="0"/>
        <i val="0"/>
        <strike val="0"/>
        <condense val="0"/>
        <extend val="0"/>
        <outline val="0"/>
        <shadow val="0"/>
        <u val="none"/>
        <vertAlign val="baseline"/>
        <sz val="14"/>
        <color rgb="FF000000"/>
        <name val="Arial"/>
        <family val="2"/>
        <scheme val="none"/>
      </font>
      <numFmt numFmtId="164" formatCode="#,##0\ &quot;€&quot;"/>
      <fill>
        <patternFill patternType="solid">
          <fgColor rgb="FF000000"/>
          <bgColor rgb="FFFFF2CC"/>
        </patternFill>
      </fill>
      <alignment horizontal="general" vertical="top" textRotation="0" wrapText="0" indent="0" justifyLastLine="0" shrinkToFit="0" readingOrder="0"/>
      <protection locked="0" hidden="0"/>
    </dxf>
    <dxf>
      <border outline="0">
        <bottom style="thin">
          <color rgb="FFFFFFFF"/>
        </bottom>
      </border>
    </dxf>
    <dxf>
      <font>
        <b val="0"/>
        <i val="0"/>
        <strike val="0"/>
        <condense val="0"/>
        <extend val="0"/>
        <outline val="0"/>
        <shadow val="0"/>
        <u val="none"/>
        <vertAlign val="baseline"/>
        <sz val="14"/>
        <color theme="1"/>
        <name val="Arial"/>
        <family val="2"/>
        <scheme val="none"/>
      </font>
      <alignment horizontal="center" vertical="center" textRotation="0" wrapText="0" indent="0" justifyLastLine="0" shrinkToFit="0" readingOrder="0"/>
      <border diagonalUp="0" diagonalDown="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right style="thin">
          <color theme="4" tint="0.39994506668294322"/>
        </right>
        <top/>
        <bottom/>
      </border>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style="thin">
          <color theme="0"/>
        </left>
        <right/>
        <top/>
        <bottom/>
      </border>
      <protection locked="1" hidden="0"/>
    </dxf>
    <dxf>
      <border outline="0">
        <top style="thin">
          <color rgb="FFFFFFFF"/>
        </top>
      </border>
    </dxf>
    <dxf>
      <border outline="0">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1" hidden="0"/>
    </dxf>
    <dxf>
      <border>
        <bottom style="thin">
          <color rgb="FFFFFFFF"/>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style="thin">
          <color theme="0"/>
        </top>
        <bottom/>
        <vertical/>
        <horizontal/>
      </border>
      <protection locked="1" hidden="0"/>
    </dxf>
    <dxf>
      <font>
        <b/>
        <i val="0"/>
        <strike val="0"/>
        <condense val="0"/>
        <extend val="0"/>
        <outline val="0"/>
        <shadow val="0"/>
        <u val="none"/>
        <vertAlign val="baseline"/>
        <sz val="12"/>
        <color theme="1"/>
        <name val="Calibri"/>
        <family val="2"/>
        <scheme val="minor"/>
      </font>
      <border diagonalUp="0" diagonalDown="0" outline="0">
        <left/>
        <right style="thin">
          <color theme="0"/>
        </right>
        <top style="thin">
          <color theme="0"/>
        </top>
        <bottom/>
      </border>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top style="thin">
          <color rgb="FFFFFFFF"/>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right style="thin">
          <color theme="0"/>
        </right>
        <top/>
        <bottom/>
      </border>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0"/>
        </right>
        <top/>
        <bottom/>
      </border>
      <protection locked="0" hidden="0"/>
    </dxf>
    <dxf>
      <border outline="0">
        <top style="thin">
          <color rgb="FFFFFFFF"/>
        </top>
      </border>
    </dxf>
    <dxf>
      <font>
        <strike val="0"/>
        <outline val="0"/>
        <shadow val="0"/>
        <u val="none"/>
        <vertAlign val="baseline"/>
        <sz val="14"/>
        <color rgb="FF000000"/>
        <name val="Arial"/>
        <family val="2"/>
        <scheme val="none"/>
      </font>
      <alignment horizontal="general" vertical="center" textRotation="0" wrapText="0" indent="0" justifyLastLine="0" shrinkToFit="0" readingOrder="0"/>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4" tint="0.39994506668294322"/>
        </left>
        <right style="thin">
          <color theme="0"/>
        </right>
        <top style="thin">
          <color theme="4" tint="0.39994506668294322"/>
        </top>
        <bottom style="thin">
          <color theme="4" tint="0.39994506668294322"/>
        </bottom>
      </border>
      <protection locked="1"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style="medium">
          <color theme="8" tint="-0.24994659260841701"/>
        </top>
        <bottom/>
      </border>
      <protection locked="0" hidden="0"/>
    </dxf>
    <dxf>
      <font>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style="thin">
          <color theme="4" tint="0.39994506668294322"/>
        </bottom>
      </border>
      <protection locked="0" hidden="0"/>
    </dxf>
    <dxf>
      <border>
        <top style="medium">
          <color rgb="FF2F75B5"/>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border diagonalUp="0" diagonalDown="0">
        <left style="thin">
          <color rgb="FFFFFFFF"/>
        </left>
        <right style="thin">
          <color rgb="FFFFFFFF"/>
        </right>
        <top/>
        <bottom/>
        <vertical style="thin">
          <color rgb="FFFFFFFF"/>
        </vertical>
        <horizontal/>
      </border>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bottom style="thin">
          <color theme="0"/>
        </bottom>
      </border>
      <protection locked="0" hidden="0"/>
    </dxf>
    <dxf>
      <font>
        <b/>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top style="thin">
          <color theme="4" tint="0.39997558519241921"/>
        </top>
        <bottom style="thin">
          <color theme="4" tint="0.39997558519241921"/>
        </bottom>
        <vertical/>
        <horizontal/>
      </border>
      <protection locked="0" hidden="0"/>
    </dxf>
    <dxf>
      <border>
        <top style="thin">
          <color rgb="FF4472C4"/>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border diagonalUp="0" diagonalDown="0">
        <left style="thin">
          <color rgb="FFFFFFFF"/>
        </left>
        <right style="thin">
          <color rgb="FFFFFFFF"/>
        </right>
        <top/>
        <bottom/>
      </border>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font>
        <b/>
        <i val="0"/>
        <strike val="0"/>
        <condense val="0"/>
        <extend val="0"/>
        <outline val="0"/>
        <shadow val="0"/>
        <u val="none"/>
        <vertAlign val="baseline"/>
        <sz val="12"/>
        <color theme="1"/>
        <name val="Calibri"/>
        <family val="2"/>
        <scheme val="minor"/>
      </font>
      <border diagonalUp="0" diagonalDown="0" outline="0">
        <left/>
        <right style="thin">
          <color theme="0"/>
        </right>
        <top style="thin">
          <color theme="0"/>
        </top>
        <bottom/>
      </border>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top style="thin">
          <color theme="0"/>
        </top>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left/>
        <right/>
        <top style="thin">
          <color theme="0"/>
        </top>
        <bottom/>
        <vertical/>
        <horizontal/>
      </border>
      <protection locked="1" hidden="0"/>
    </dxf>
    <dxf>
      <border outline="0">
        <top style="thin">
          <color theme="0"/>
        </top>
      </border>
    </dxf>
    <dxf>
      <border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protection locked="1" hidden="0"/>
    </dxf>
    <dxf>
      <border outline="0">
        <bottom style="thin">
          <color theme="0"/>
        </bottom>
      </border>
    </dxf>
    <dxf>
      <font>
        <b/>
        <i val="0"/>
        <strike val="0"/>
        <condense val="0"/>
        <extend val="0"/>
        <outline val="0"/>
        <shadow val="0"/>
        <u val="none"/>
        <vertAlign val="baseline"/>
        <sz val="14"/>
        <color theme="0"/>
        <name val="Arial"/>
        <family val="2"/>
        <scheme val="none"/>
      </font>
      <fill>
        <patternFill patternType="solid">
          <fgColor indexed="64"/>
          <bgColor theme="4" tint="-0.499984740745262"/>
        </patternFill>
      </fill>
      <alignment horizontal="general" vertical="center" textRotation="0" wrapText="1" indent="0" justifyLastLine="0" shrinkToFit="0" readingOrder="0"/>
      <protection locked="1"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left style="thin">
          <color theme="4" tint="0.39994506668294322"/>
        </left>
        <right style="thin">
          <color theme="0"/>
        </right>
        <top style="thin">
          <color theme="4" tint="0.39994506668294322"/>
        </top>
        <bottom/>
      </border>
      <protection locked="1"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vertical/>
        <horizontal/>
      </border>
      <protection locked="0" hidden="0"/>
    </dxf>
    <dxf>
      <border>
        <top style="medium">
          <color theme="8" tint="-0.24994659260841701"/>
        </top>
      </border>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border outline="0">
        <right style="thin">
          <color theme="0"/>
        </right>
        <top style="thin">
          <color theme="0"/>
        </top>
        <bottom style="thin">
          <color theme="0"/>
        </bottom>
      </border>
    </dxf>
    <dxf>
      <font>
        <b val="0"/>
        <i val="0"/>
        <strike val="0"/>
        <condense val="0"/>
        <extend val="0"/>
        <outline val="0"/>
        <shadow val="0"/>
        <u val="none"/>
        <vertAlign val="baseline"/>
        <sz val="14"/>
        <color theme="1"/>
        <name val="Arial"/>
        <family val="2"/>
        <scheme val="none"/>
      </font>
      <numFmt numFmtId="164" formatCode="#,##0\ &quot;€&quot;"/>
      <fill>
        <patternFill patternType="solid">
          <fgColor indexed="64"/>
          <bgColor theme="7" tint="0.79998168889431442"/>
        </patternFill>
      </fill>
      <alignment horizontal="general" vertical="top" textRotation="0" wrapText="0" indent="0" justifyLastLine="0" shrinkToFit="0" readingOrder="0"/>
      <protection locked="0" hidden="0"/>
    </dxf>
    <dxf>
      <border outline="0">
        <bottom style="thin">
          <color theme="0"/>
        </bottom>
      </border>
    </dxf>
    <dxf>
      <font>
        <b val="0"/>
        <i val="0"/>
        <strike val="0"/>
        <condense val="0"/>
        <extend val="0"/>
        <outline val="0"/>
        <shadow val="0"/>
        <u val="none"/>
        <vertAlign val="baseline"/>
        <sz val="14"/>
        <color theme="1"/>
        <name val="Arial"/>
        <family val="2"/>
        <scheme val="none"/>
      </font>
      <alignment horizontal="center" vertical="center" textRotation="0" wrapText="0" indent="0" justifyLastLine="0" shrinkToFit="0" readingOrder="0"/>
      <border diagonalUp="0" diagonalDown="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right style="thin">
          <color theme="4" tint="0.39994506668294322"/>
        </right>
        <top/>
        <bottom/>
      </border>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style="thin">
          <color theme="0"/>
        </left>
        <right/>
        <top/>
        <bottom/>
      </border>
      <protection locked="1" hidden="0"/>
    </dxf>
    <dxf>
      <border outline="0">
        <top style="thin">
          <color theme="0"/>
        </top>
      </border>
    </dxf>
    <dxf>
      <border outline="0">
        <right style="thin">
          <color theme="0"/>
        </right>
        <top style="thin">
          <color theme="0"/>
        </top>
        <bottom style="thin">
          <color theme="0"/>
        </bottom>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1" hidden="0"/>
    </dxf>
    <dxf>
      <border>
        <bottom style="thin">
          <color theme="0"/>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style="thin">
          <color theme="0"/>
        </top>
        <bottom/>
        <vertical/>
        <horizontal/>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font>
        <b/>
        <i val="0"/>
        <strike val="0"/>
        <condense val="0"/>
        <extend val="0"/>
        <outline val="0"/>
        <shadow val="0"/>
        <u val="none"/>
        <vertAlign val="baseline"/>
        <sz val="12"/>
        <color theme="1"/>
        <name val="Calibri"/>
        <family val="2"/>
        <scheme val="minor"/>
      </font>
      <border diagonalUp="0" diagonalDown="0" outline="0">
        <left/>
        <right style="thin">
          <color theme="0"/>
        </right>
        <top style="thin">
          <color theme="0"/>
        </top>
        <bottom/>
      </border>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top style="thin">
          <color theme="0"/>
        </top>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right style="thin">
          <color theme="0"/>
        </right>
        <top/>
        <bottom/>
      </border>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0"/>
        </left>
        <right/>
        <top/>
        <bottom/>
      </border>
      <protection locked="0" hidden="0"/>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0"/>
        </right>
        <top/>
        <bottom/>
      </border>
      <protection locked="0" hidden="0"/>
    </dxf>
    <dxf>
      <border outline="0">
        <top style="thin">
          <color theme="0"/>
        </top>
      </border>
    </dxf>
    <dxf>
      <font>
        <strike val="0"/>
        <outline val="0"/>
        <shadow val="0"/>
        <u val="none"/>
        <vertAlign val="baseline"/>
        <sz val="14"/>
        <color theme="1"/>
        <name val="Arial"/>
        <family val="2"/>
        <scheme val="none"/>
      </font>
      <alignment horizontal="general" vertical="center" textRotation="0" wrapText="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4" tint="0.39994506668294322"/>
        </left>
        <right style="thin">
          <color theme="0"/>
        </right>
        <top style="thin">
          <color theme="4" tint="0.39994506668294322"/>
        </top>
        <bottom style="thin">
          <color theme="4" tint="0.39994506668294322"/>
        </bottom>
      </border>
      <protection locked="1"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style="medium">
          <color theme="8" tint="-0.24994659260841701"/>
        </top>
        <bottom/>
      </border>
      <protection locked="0" hidden="0"/>
    </dxf>
    <dxf>
      <font>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style="thin">
          <color theme="4" tint="0.39994506668294322"/>
        </bottom>
      </border>
      <protection locked="0" hidden="0"/>
    </dxf>
    <dxf>
      <border>
        <top style="medium">
          <color theme="8" tint="-0.24994659260841701"/>
        </top>
      </border>
    </dxf>
    <dxf>
      <font>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style="thin">
          <color theme="0"/>
        </left>
        <right style="thin">
          <color theme="0"/>
        </right>
        <top/>
        <bottom/>
        <vertical style="thin">
          <color theme="0"/>
        </vertical>
        <horizontal/>
      </border>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bottom style="thin">
          <color theme="0"/>
        </bottom>
      </border>
      <protection locked="0" hidden="0"/>
    </dxf>
    <dxf>
      <font>
        <b/>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top style="thin">
          <color theme="4" tint="0.39997558519241921"/>
        </top>
        <bottom style="thin">
          <color theme="4" tint="0.39997558519241921"/>
        </bottom>
        <vertical/>
        <horizontal/>
      </border>
      <protection locked="0" hidden="0"/>
    </dxf>
    <dxf>
      <border>
        <top style="thin">
          <color theme="4"/>
        </top>
      </border>
    </dxf>
    <dxf>
      <font>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style="thin">
          <color theme="0"/>
        </left>
        <right style="thin">
          <color theme="0"/>
        </right>
        <top/>
        <bottom/>
      </border>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numFmt numFmtId="165" formatCode="#,##0.00\ &quot;€&quot;"/>
      <border diagonalUp="0" diagonalDown="0">
        <right style="thick">
          <color theme="4" tint="-0.499984740745262"/>
        </right>
        <top style="medium">
          <color theme="4"/>
        </top>
        <bottom style="medium">
          <color theme="4"/>
        </bottom>
        <vertical style="thick">
          <color theme="4" tint="-0.499984740745262"/>
        </vertical>
        <horizontal style="medium">
          <color theme="4"/>
        </horizontal>
      </border>
      <protection locked="0" hidden="0"/>
    </dxf>
    <dxf>
      <numFmt numFmtId="165" formatCode="#,##0.00\ &quot;€&quot;"/>
      <border diagonalUp="0" diagonalDown="0">
        <left style="thick">
          <color theme="4" tint="-0.499984740745262"/>
        </left>
        <top style="medium">
          <color theme="4"/>
        </top>
        <bottom style="medium">
          <color theme="4"/>
        </bottom>
        <horizontal style="medium">
          <color theme="4"/>
        </horizontal>
      </border>
      <protection locked="0" hidden="0"/>
    </dxf>
    <dxf>
      <numFmt numFmtId="165" formatCode="#,##0.00\ &quot;€&quot;"/>
      <protection locked="0" hidden="0"/>
    </dxf>
    <dxf>
      <numFmt numFmtId="165" formatCode="#,##0.00\ &quot;€&quot;"/>
      <protection locked="0" hidden="0"/>
    </dxf>
    <dxf>
      <numFmt numFmtId="165" formatCode="#,##0.00\ &quot;€&quot;"/>
      <protection locked="0" hidden="0"/>
    </dxf>
    <dxf>
      <numFmt numFmtId="165" formatCode="#,##0.00\ &quot;€&quot;"/>
      <protection locked="0" hidden="0"/>
    </dxf>
    <dxf>
      <numFmt numFmtId="165" formatCode="#,##0.00\ &quot;€&quot;"/>
      <protection locked="0" hidden="0"/>
    </dxf>
    <dxf>
      <numFmt numFmtId="165" formatCode="#,##0.00\ &quot;€&quot;"/>
      <protection locked="0" hidden="0"/>
    </dxf>
    <dxf>
      <numFmt numFmtId="165" formatCode="#,##0.00\ &quot;€&quot;"/>
      <protection locked="0" hidden="0"/>
    </dxf>
    <dxf>
      <numFmt numFmtId="165" formatCode="#,##0.00\ &quot;€&quot;"/>
      <protection locked="0" hidden="0"/>
    </dxf>
    <dxf>
      <numFmt numFmtId="165" formatCode="#,##0.00\ &quot;€&quot;"/>
      <protection locked="0" hidden="0"/>
    </dxf>
    <dxf>
      <numFmt numFmtId="165" formatCode="#,##0.00\ &quot;€&quot;"/>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top style="thin">
          <color theme="4" tint="0.39994506668294322"/>
        </top>
        <bottom/>
        <vertical/>
        <horizontal/>
      </border>
      <protection locked="0" hidden="0"/>
    </dxf>
    <dxf>
      <border outline="0">
        <left style="thin">
          <color theme="0"/>
        </left>
        <right style="thin">
          <color theme="0"/>
        </right>
        <bottom style="thin">
          <color theme="0"/>
        </bottom>
      </border>
    </dxf>
    <dxf>
      <protection locked="0" hidden="0"/>
    </dxf>
    <dxf>
      <font>
        <b/>
        <i val="0"/>
        <strike val="0"/>
        <condense val="0"/>
        <extend val="0"/>
        <outline val="0"/>
        <shadow val="0"/>
        <u val="none"/>
        <vertAlign val="baseline"/>
        <sz val="14"/>
        <color theme="0"/>
        <name val="Arial"/>
        <family val="2"/>
        <scheme val="none"/>
      </font>
      <fill>
        <patternFill patternType="solid">
          <fgColor indexed="64"/>
          <bgColor theme="4" tint="-0.499984740745262"/>
        </patternFill>
      </fill>
      <alignment horizontal="center" vertical="center" textRotation="0" wrapText="0" indent="0" justifyLastLine="0" shrinkToFit="0" readingOrder="0"/>
      <border diagonalUp="0" diagonalDown="0">
        <left style="thin">
          <color theme="0"/>
        </left>
        <right style="thin">
          <color theme="0"/>
        </right>
        <top/>
        <bottom/>
      </border>
      <protection locked="0" hidden="0"/>
    </dxf>
    <dxf>
      <font>
        <strike val="0"/>
        <outline val="0"/>
        <shadow val="0"/>
        <u val="none"/>
        <vertAlign val="baseline"/>
        <sz val="14"/>
        <color theme="1"/>
        <name val="Arial"/>
        <family val="2"/>
        <scheme val="none"/>
      </font>
      <alignment vertical="top" textRotation="0" wrapText="0" indent="0" justifyLastLine="0" shrinkToFit="0" readingOrder="0"/>
      <border diagonalUp="0" diagonalDown="0">
        <left style="thin">
          <color theme="4" tint="0.39994506668294322"/>
        </left>
        <right style="thin">
          <color theme="0"/>
        </right>
        <top style="thin">
          <color theme="4" tint="0.39994506668294322"/>
        </top>
        <bottom style="thin">
          <color theme="4" tint="0.39994506668294322"/>
        </bottom>
      </border>
      <protection locked="1" hidden="0"/>
    </dxf>
    <dxf>
      <font>
        <strike val="0"/>
        <outline val="0"/>
        <shadow val="0"/>
        <u val="none"/>
        <vertAlign val="baseline"/>
        <sz val="14"/>
        <color theme="1"/>
        <name val="Arial"/>
        <family val="2"/>
        <scheme val="none"/>
      </font>
      <alignment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1" hidden="0"/>
    </dxf>
    <dxf>
      <border diagonalUp="0" diagonalDown="0" outline="0">
        <left/>
        <right style="thin">
          <color theme="0"/>
        </right>
        <top style="thin">
          <color theme="0"/>
        </top>
        <bottom/>
      </border>
    </dxf>
    <dxf>
      <font>
        <strike val="0"/>
        <outline val="0"/>
        <shadow val="0"/>
        <u val="none"/>
        <vertAlign val="baseline"/>
        <sz val="14"/>
        <color theme="1"/>
        <name val="Arial"/>
        <family val="2"/>
        <scheme val="none"/>
      </font>
      <alignment vertical="top" textRotation="0" wrapText="0" indent="0" justifyLastLine="0" shrinkToFit="0" readingOrder="0"/>
      <border diagonalUp="0" diagonalDown="0">
        <left/>
        <right style="thin">
          <color theme="4" tint="0.39994506668294322"/>
        </right>
        <top style="thin">
          <color theme="4" tint="0.39994506668294322"/>
        </top>
        <bottom style="thin">
          <color theme="4" tint="0.39994506668294322"/>
        </bottom>
      </border>
      <protection locked="1" hidden="0"/>
    </dxf>
    <dxf>
      <border outline="0">
        <top style="thin">
          <color theme="0"/>
        </top>
      </border>
    </dxf>
    <dxf>
      <font>
        <strike val="0"/>
        <outline val="0"/>
        <shadow val="0"/>
        <u val="none"/>
        <vertAlign val="baseline"/>
        <sz val="14"/>
        <color theme="1"/>
        <name val="Arial"/>
        <family val="2"/>
        <scheme val="none"/>
      </font>
      <alignment vertical="top" textRotation="0" wrapText="0" indent="0" justifyLastLine="0" shrinkToFit="0" readingOrder="0"/>
      <protection locked="1"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wrapText="0" indent="0" justifyLastLine="0" shrinkToFit="0" readingOrder="0"/>
      <protection locked="1" hidden="0"/>
    </dxf>
    <dxf>
      <border outline="0">
        <bottom style="thin">
          <color theme="0"/>
        </bottom>
      </border>
    </dxf>
    <dxf>
      <font>
        <strike val="0"/>
        <outline val="0"/>
        <shadow val="0"/>
        <u val="none"/>
        <vertAlign val="baseline"/>
        <sz val="14"/>
        <color theme="1"/>
        <name val="Arial"/>
        <family val="2"/>
        <scheme val="none"/>
      </font>
      <alignment vertical="center" textRotation="0" wrapText="0" indent="0" justifyLastLine="0" shrinkToFit="0" readingOrder="0"/>
      <protection locked="1" hidden="0"/>
    </dxf>
    <dxf>
      <font>
        <strike val="0"/>
        <outline val="0"/>
        <shadow val="0"/>
        <u val="none"/>
        <vertAlign val="baseline"/>
        <sz val="14"/>
        <color theme="1"/>
        <name val="Arial"/>
        <family val="2"/>
        <scheme val="none"/>
      </font>
      <numFmt numFmtId="164"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vertical/>
        <horizontal/>
      </border>
      <protection locked="0" hidden="0"/>
    </dxf>
    <dxf>
      <font>
        <b/>
        <strike val="0"/>
        <outline val="0"/>
        <shadow val="0"/>
        <u val="none"/>
        <vertAlign val="baseline"/>
        <sz val="14"/>
        <color theme="1"/>
        <name val="Arial"/>
        <family val="2"/>
        <scheme val="none"/>
      </font>
      <numFmt numFmtId="164"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medium">
          <color theme="0"/>
        </left>
        <right style="thin">
          <color rgb="FF0070C0"/>
        </right>
        <top style="medium">
          <color theme="4"/>
        </top>
        <bottom/>
        <vertical/>
        <horizontal/>
      </border>
      <protection locked="0" hidden="0"/>
    </dxf>
    <dxf>
      <font>
        <i/>
        <strike val="0"/>
        <outline val="0"/>
        <shadow val="0"/>
        <u val="none"/>
        <vertAlign val="baseline"/>
        <sz val="14"/>
        <color theme="0"/>
        <name val="Arial"/>
        <family val="2"/>
        <scheme val="none"/>
      </font>
      <numFmt numFmtId="164" formatCode="#,##0\ &quot;€&quot;"/>
      <fill>
        <patternFill patternType="solid">
          <fgColor indexed="64"/>
          <bgColor theme="0"/>
        </patternFill>
      </fill>
      <alignment horizontal="general" vertical="top" textRotation="0" wrapText="0" indent="0" justifyLastLine="0" shrinkToFit="0" readingOrder="0"/>
      <border diagonalUp="0" diagonalDown="0">
        <left style="thick">
          <color theme="4" tint="-0.499984740745262"/>
        </left>
        <right style="medium">
          <color theme="0"/>
        </right>
        <top style="medium">
          <color theme="4"/>
        </top>
        <bottom/>
        <vertical/>
        <horizontal/>
      </border>
      <protection locked="0" hidden="0"/>
    </dxf>
    <dxf>
      <font>
        <b/>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medium">
          <color theme="0"/>
        </left>
        <right style="medium">
          <color theme="0"/>
        </right>
        <top style="medium">
          <color theme="4"/>
        </top>
        <bottom/>
      </border>
    </dxf>
    <dxf>
      <font>
        <b/>
        <i val="0"/>
        <strike val="0"/>
        <condense val="0"/>
        <extend val="0"/>
        <outline val="0"/>
        <shadow val="0"/>
        <u val="none"/>
        <vertAlign val="baseline"/>
        <sz val="14"/>
        <color theme="1"/>
        <name val="Arial"/>
        <family val="2"/>
        <scheme val="none"/>
      </font>
      <numFmt numFmtId="164"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medium">
          <color theme="0"/>
        </left>
        <right style="thin">
          <color rgb="FF0070C0"/>
        </right>
        <top style="medium">
          <color theme="4"/>
        </top>
        <bottom/>
        <vertical/>
        <horizontal/>
      </border>
      <protection locked="0" hidden="0"/>
    </dxf>
    <dxf>
      <font>
        <b val="0"/>
        <i val="0"/>
        <strike val="0"/>
        <condense val="0"/>
        <extend val="0"/>
        <outline val="0"/>
        <shadow val="0"/>
        <u val="none"/>
        <vertAlign val="baseline"/>
        <sz val="14"/>
        <color theme="1"/>
        <name val="Arial"/>
        <family val="2"/>
        <scheme val="none"/>
      </font>
      <alignment horizontal="center" vertical="top" textRotation="0" wrapText="0" indent="0" justifyLastLine="0" shrinkToFit="0" readingOrder="0"/>
      <border diagonalUp="0" diagonalDown="0" outline="0">
        <left style="thin">
          <color theme="0"/>
        </left>
        <right style="thin">
          <color theme="0"/>
        </right>
        <top/>
        <bottom/>
      </border>
    </dxf>
    <dxf>
      <font>
        <i/>
        <strike val="0"/>
        <outline val="0"/>
        <shadow val="0"/>
        <u val="none"/>
        <vertAlign val="baseline"/>
        <sz val="14"/>
        <color theme="0"/>
        <name val="Arial"/>
        <family val="2"/>
        <scheme val="none"/>
      </font>
      <numFmt numFmtId="164" formatCode="#,##0\ &quot;€&quot;"/>
      <fill>
        <patternFill patternType="solid">
          <fgColor indexed="64"/>
          <bgColor theme="0"/>
        </patternFill>
      </fill>
      <alignment horizontal="general" vertical="top" textRotation="0" wrapText="0" indent="0" justifyLastLine="0" shrinkToFit="0" readingOrder="0"/>
      <border diagonalUp="0" diagonalDown="0">
        <left style="thick">
          <color theme="4" tint="-0.499984740745262"/>
        </left>
        <right style="medium">
          <color theme="0"/>
        </right>
        <top style="medium">
          <color theme="4"/>
        </top>
        <bottom/>
        <vertical/>
        <horizontal/>
      </border>
      <protection locked="0" hidden="0"/>
    </dxf>
    <dxf>
      <font>
        <b/>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medium">
          <color theme="0"/>
        </left>
        <right style="medium">
          <color theme="0"/>
        </right>
        <top style="medium">
          <color theme="4"/>
        </top>
        <bottom/>
      </border>
    </dxf>
    <dxf>
      <font>
        <b/>
        <i val="0"/>
        <strike val="0"/>
        <condense val="0"/>
        <extend val="0"/>
        <outline val="0"/>
        <shadow val="0"/>
        <u val="none"/>
        <vertAlign val="baseline"/>
        <sz val="14"/>
        <color theme="1"/>
        <name val="Arial"/>
        <family val="2"/>
        <scheme val="none"/>
      </font>
      <numFmt numFmtId="164"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medium">
          <color theme="0"/>
        </left>
        <right style="thin">
          <color rgb="FF0070C0"/>
        </right>
        <top style="medium">
          <color theme="4"/>
        </top>
        <bottom/>
        <vertical/>
        <horizontal/>
      </border>
      <protection locked="0" hidden="0"/>
    </dxf>
    <dxf>
      <font>
        <i/>
        <strike val="0"/>
        <outline val="0"/>
        <shadow val="0"/>
        <u val="none"/>
        <vertAlign val="baseline"/>
        <sz val="14"/>
        <color theme="0"/>
        <name val="Arial"/>
        <family val="2"/>
        <scheme val="none"/>
      </font>
      <numFmt numFmtId="164" formatCode="#,##0\ &quot;€&quot;"/>
      <fill>
        <patternFill patternType="solid">
          <fgColor indexed="64"/>
          <bgColor theme="0"/>
        </patternFill>
      </fill>
      <alignment horizontal="general" vertical="top" textRotation="0" wrapText="0" indent="0" justifyLastLine="0" shrinkToFit="0" readingOrder="0"/>
      <border diagonalUp="0" diagonalDown="0">
        <left style="thick">
          <color theme="4" tint="-0.499984740745262"/>
        </left>
        <right style="medium">
          <color theme="0"/>
        </right>
        <top style="medium">
          <color theme="4"/>
        </top>
        <bottom/>
        <vertical/>
        <horizontal/>
      </border>
      <protection locked="0" hidden="0"/>
    </dxf>
    <dxf>
      <font>
        <b/>
        <i val="0"/>
        <strike val="0"/>
        <condense val="0"/>
        <extend val="0"/>
        <outline val="0"/>
        <shadow val="0"/>
        <u val="none"/>
        <vertAlign val="baseline"/>
        <sz val="14"/>
        <color theme="1"/>
        <name val="Arial"/>
        <family val="2"/>
        <scheme val="none"/>
      </font>
      <numFmt numFmtId="164"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medium">
          <color theme="0"/>
        </left>
        <right style="thin">
          <color rgb="FF0070C0"/>
        </right>
        <top style="medium">
          <color theme="4"/>
        </top>
        <bottom/>
        <vertical/>
        <horizontal/>
      </border>
      <protection locked="0" hidden="0"/>
    </dxf>
    <dxf>
      <font>
        <i/>
        <strike val="0"/>
        <outline val="0"/>
        <shadow val="0"/>
        <u val="none"/>
        <vertAlign val="baseline"/>
        <sz val="14"/>
        <color theme="0"/>
        <name val="Arial"/>
        <family val="2"/>
        <scheme val="none"/>
      </font>
      <numFmt numFmtId="164" formatCode="#,##0\ &quot;€&quot;"/>
      <fill>
        <patternFill patternType="solid">
          <fgColor indexed="64"/>
          <bgColor theme="0"/>
        </patternFill>
      </fill>
      <alignment horizontal="general" vertical="top" textRotation="0" wrapText="0" indent="0" justifyLastLine="0" shrinkToFit="0" readingOrder="0"/>
      <border diagonalUp="0" diagonalDown="0">
        <left style="thick">
          <color theme="4" tint="-0.499984740745262"/>
        </left>
        <right style="medium">
          <color theme="0"/>
        </right>
        <top style="medium">
          <color theme="4"/>
        </top>
        <bottom/>
        <vertical/>
        <horizontal/>
      </border>
      <protection locked="0" hidden="0"/>
    </dxf>
    <dxf>
      <font>
        <b/>
        <i val="0"/>
        <strike val="0"/>
        <condense val="0"/>
        <extend val="0"/>
        <outline val="0"/>
        <shadow val="0"/>
        <u val="none"/>
        <vertAlign val="baseline"/>
        <sz val="14"/>
        <color theme="1"/>
        <name val="Arial"/>
        <family val="2"/>
        <scheme val="none"/>
      </font>
      <numFmt numFmtId="164"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medium">
          <color theme="0"/>
        </left>
        <right style="thin">
          <color rgb="FF0070C0"/>
        </right>
        <top style="medium">
          <color theme="4"/>
        </top>
        <bottom/>
        <vertical/>
        <horizontal/>
      </border>
      <protection locked="0" hidden="0"/>
    </dxf>
    <dxf>
      <font>
        <i/>
        <strike val="0"/>
        <outline val="0"/>
        <shadow val="0"/>
        <u val="none"/>
        <vertAlign val="baseline"/>
        <sz val="14"/>
        <color theme="0"/>
        <name val="Arial"/>
        <family val="2"/>
        <scheme val="none"/>
      </font>
      <numFmt numFmtId="164" formatCode="#,##0\ &quot;€&quot;"/>
      <fill>
        <patternFill patternType="solid">
          <fgColor indexed="64"/>
          <bgColor theme="0"/>
        </patternFill>
      </fill>
      <alignment horizontal="general" vertical="top" textRotation="0" wrapText="0" indent="0" justifyLastLine="0" shrinkToFit="0" readingOrder="0"/>
      <border diagonalUp="0" diagonalDown="0">
        <left style="thick">
          <color theme="4" tint="-0.499984740745262"/>
        </left>
        <right style="medium">
          <color theme="0"/>
        </right>
        <top style="medium">
          <color theme="4"/>
        </top>
        <bottom/>
        <vertical/>
        <horizontal/>
      </border>
      <protection locked="0" hidden="0"/>
    </dxf>
    <dxf>
      <font>
        <b val="0"/>
        <i val="0"/>
        <strike val="0"/>
        <condense val="0"/>
        <extend val="0"/>
        <outline val="0"/>
        <shadow val="0"/>
        <u val="none"/>
        <vertAlign val="baseline"/>
        <sz val="14"/>
        <color theme="1"/>
        <name val="Arial"/>
        <family val="2"/>
        <scheme val="none"/>
      </font>
      <numFmt numFmtId="164"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vertical/>
        <horizontal/>
      </border>
      <protection locked="0" hidden="0"/>
    </dxf>
    <dxf>
      <font>
        <strike val="0"/>
        <outline val="0"/>
        <shadow val="0"/>
        <u val="none"/>
        <vertAlign val="baseline"/>
        <sz val="14"/>
        <color theme="1"/>
        <name val="Arial"/>
        <family val="2"/>
        <scheme val="none"/>
      </font>
      <numFmt numFmtId="0" formatCode="General"/>
      <fill>
        <patternFill patternType="solid">
          <fgColor indexed="64"/>
          <bgColor theme="7" tint="0.79998168889431442"/>
        </patternFill>
      </fill>
      <alignment horizontal="center" vertical="top" textRotation="0" wrapText="0" indent="0" justifyLastLine="0" shrinkToFit="0" readingOrder="0"/>
      <border diagonalUp="0" diagonalDown="0">
        <left style="thick">
          <color theme="4" tint="-0.49998474074526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bottom/>
      </border>
      <protection locked="0" hidden="0"/>
    </dxf>
    <dxf>
      <font>
        <strike val="0"/>
        <outline val="0"/>
        <shadow val="0"/>
        <u val="none"/>
        <vertAlign val="baseline"/>
        <sz val="14"/>
        <color theme="1"/>
        <name val="Arial"/>
        <family val="2"/>
        <scheme val="none"/>
      </font>
      <fill>
        <patternFill patternType="solid">
          <fgColor indexed="64"/>
          <bgColor theme="7" tint="0.79998168889431442"/>
        </patternFill>
      </fill>
      <alignment vertical="top" textRotation="0" wrapText="0" indent="0" justifyLastLine="0" shrinkToFit="0" readingOrder="0"/>
      <border diagonalUp="0" diagonalDown="0">
        <left/>
        <right style="thin">
          <color theme="4" tint="0.39994506668294322"/>
        </right>
        <top style="thin">
          <color theme="4" tint="0.39994506668294322"/>
        </top>
        <bottom style="thin">
          <color theme="4" tint="0.39994506668294322"/>
        </bottom>
      </border>
      <protection locked="0" hidden="0"/>
    </dxf>
    <dxf>
      <border outline="0">
        <top style="thin">
          <color theme="0"/>
        </top>
      </border>
    </dxf>
    <dxf>
      <font>
        <strike val="0"/>
        <outline val="0"/>
        <shadow val="0"/>
        <u val="none"/>
        <vertAlign val="baseline"/>
        <sz val="14"/>
        <color theme="1"/>
        <name val="Arial"/>
        <family val="2"/>
        <scheme val="none"/>
      </font>
      <alignment vertical="top" textRotation="0" wrapText="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fill>
        <patternFill patternType="solid">
          <fgColor indexed="64"/>
          <bgColor theme="7" tint="0.79998168889431442"/>
        </patternFill>
      </fill>
      <alignment vertical="top" textRotation="0" wrapText="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vertical="center" textRotation="0" wrapText="0" indent="0" justifyLastLine="0" shrinkToFit="0" readingOrder="0"/>
      <border diagonalUp="0" diagonalDown="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left/>
        <right/>
        <top style="thin">
          <color theme="0"/>
        </top>
        <bottom style="thin">
          <color theme="0"/>
        </bottom>
        <vertical/>
        <horizontal/>
      </border>
      <protection locked="0" hidden="0"/>
    </dxf>
    <dxf>
      <border outline="0">
        <top style="thin">
          <color theme="0"/>
        </top>
      </border>
    </dxf>
    <dxf>
      <border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protection locked="0" hidden="0"/>
    </dxf>
    <dxf>
      <border outline="0">
        <bottom style="thin">
          <color theme="0"/>
        </bottom>
      </border>
    </dxf>
    <dxf>
      <font>
        <b/>
        <i val="0"/>
        <strike val="0"/>
        <condense val="0"/>
        <extend val="0"/>
        <outline val="0"/>
        <shadow val="0"/>
        <u val="none"/>
        <vertAlign val="baseline"/>
        <sz val="14"/>
        <color theme="0"/>
        <name val="Arial"/>
        <family val="2"/>
        <scheme val="none"/>
      </font>
      <fill>
        <patternFill patternType="solid">
          <fgColor indexed="64"/>
          <bgColor theme="4" tint="-0.499984740745262"/>
        </patternFill>
      </fill>
      <alignment horizontal="general" vertical="center" textRotation="0" wrapText="1" indent="0" justifyLastLine="0" shrinkToFit="0" readingOrder="0"/>
      <protection locked="0" hidden="0"/>
    </dxf>
    <dxf>
      <font>
        <strike val="0"/>
        <outline val="0"/>
        <shadow val="0"/>
        <u val="none"/>
        <vertAlign val="baseline"/>
        <sz val="14"/>
        <color theme="1"/>
        <name val="Arial"/>
        <family val="2"/>
        <scheme val="none"/>
      </font>
      <numFmt numFmtId="0" formatCode="General"/>
      <fill>
        <patternFill patternType="solid">
          <fgColor indexed="64"/>
          <bgColor theme="7" tint="0.79998168889431442"/>
        </patternFill>
      </fill>
      <alignment vertical="top" textRotation="0" indent="0" justifyLastLine="0" shrinkToFit="0" readingOrder="0"/>
      <border diagonalUp="0" diagonalDown="0">
        <left style="thin">
          <color theme="4" tint="0.39994506668294322"/>
        </left>
        <right style="thin">
          <color theme="0"/>
        </right>
        <top style="thin">
          <color theme="4" tint="0.39994506668294322"/>
        </top>
        <bottom style="thin">
          <color theme="4" tint="0.39994506668294322"/>
        </bottom>
      </border>
      <protection locked="0" hidden="0"/>
    </dxf>
    <dxf>
      <font>
        <strike val="0"/>
        <outline val="0"/>
        <shadow val="0"/>
        <u val="none"/>
        <vertAlign val="baseline"/>
        <sz val="14"/>
        <color theme="1"/>
        <name val="Arial"/>
        <family val="2"/>
        <scheme val="none"/>
      </font>
      <numFmt numFmtId="0" formatCode="General"/>
      <fill>
        <patternFill patternType="solid">
          <fgColor indexed="64"/>
          <bgColor theme="7" tint="0.79998168889431442"/>
        </patternFill>
      </fill>
      <alignment vertical="top" textRotation="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strike val="0"/>
        <condense val="0"/>
        <extend val="0"/>
        <outline val="0"/>
        <shadow val="0"/>
        <u val="none"/>
        <vertAlign val="baseline"/>
        <sz val="14"/>
        <color theme="1"/>
        <name val="Arial"/>
        <family val="2"/>
        <scheme val="none"/>
      </font>
      <alignment horizontal="center" vertical="top" textRotation="0" wrapText="0" indent="0" justifyLastLine="0" shrinkToFit="0" readingOrder="0"/>
      <border diagonalUp="0" diagonalDown="0" outline="0">
        <left/>
        <right style="thin">
          <color theme="4" tint="0.39994506668294322"/>
        </right>
        <top style="thin">
          <color theme="0"/>
        </top>
        <bottom style="thin">
          <color theme="4" tint="0.39994506668294322"/>
        </bottom>
      </border>
      <protection locked="0" hidden="0"/>
    </dxf>
    <dxf>
      <font>
        <strike val="0"/>
        <outline val="0"/>
        <shadow val="0"/>
        <u val="none"/>
        <vertAlign val="baseline"/>
        <sz val="14"/>
        <color theme="1"/>
        <name val="Arial"/>
        <family val="2"/>
        <scheme val="none"/>
      </font>
      <alignment vertical="top" textRotation="0" indent="0" justifyLastLine="0" shrinkToFit="0" readingOrder="0"/>
      <border diagonalUp="0" diagonalDown="0" outline="0">
        <left/>
        <right/>
        <top style="thin">
          <color theme="4" tint="0.39994506668294322"/>
        </top>
        <bottom style="thin">
          <color theme="4" tint="0.39994506668294322"/>
        </bottom>
      </border>
      <protection locked="0" hidden="0"/>
    </dxf>
    <dxf>
      <border outline="0">
        <top style="thin">
          <color theme="0"/>
        </top>
      </border>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vertical="center" textRotation="0" wrapText="0" indent="0" justifyLastLine="0" shrinkToFit="0" readingOrder="0"/>
      <protection locked="0" hidden="0"/>
    </dxf>
    <dxf>
      <font>
        <strike val="0"/>
        <outline val="0"/>
        <shadow val="0"/>
        <u val="none"/>
        <vertAlign val="baseline"/>
        <sz val="14"/>
        <color theme="1"/>
        <name val="Arial"/>
        <family val="2"/>
        <scheme val="none"/>
      </font>
      <numFmt numFmtId="165" formatCode="#,##0.00\ &quot;€&quot;"/>
      <alignment vertical="top" textRotation="0" indent="0" justifyLastLine="0" shrinkToFit="0" readingOrder="0"/>
      <border diagonalUp="0" diagonalDown="0">
        <left style="thin">
          <color theme="4" tint="0.39994506668294322"/>
        </left>
        <right style="thin">
          <color theme="0"/>
        </right>
        <top style="thin">
          <color theme="4" tint="0.39994506668294322"/>
        </top>
        <bottom style="thin">
          <color theme="4" tint="0.39994506668294322"/>
        </bottom>
      </border>
      <protection locked="1" hidden="0"/>
    </dxf>
    <dxf>
      <font>
        <strike val="0"/>
        <outline val="0"/>
        <shadow val="0"/>
        <u val="none"/>
        <vertAlign val="baseline"/>
        <sz val="14"/>
        <color theme="1"/>
        <name val="Arial"/>
        <family val="2"/>
        <scheme val="none"/>
      </font>
      <numFmt numFmtId="165" formatCode="#,##0.00\ &quot;€&quot;"/>
      <alignment vertical="top" textRotation="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1" hidden="0"/>
    </dxf>
    <dxf>
      <font>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style="thin">
          <color theme="4" tint="0.39994506668294322"/>
        </bottom>
        <vertical/>
        <horizontal/>
      </border>
      <protection locked="0" hidden="0"/>
    </dxf>
    <dxf>
      <border outline="0">
        <top style="thin">
          <color theme="0"/>
        </top>
      </border>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vertical="center" textRotation="0" wrapText="1" indent="0" justifyLastLine="0" shrinkToFit="0" readingOrder="0"/>
      <border diagonalUp="0" diagonalDown="0" outline="0">
        <left style="thin">
          <color theme="0"/>
        </left>
        <right style="thin">
          <color theme="0"/>
        </right>
        <top/>
        <bottom/>
      </border>
      <protection locked="0" hidden="0"/>
    </dxf>
    <dxf>
      <font>
        <strike val="0"/>
        <outline val="0"/>
        <shadow val="0"/>
        <u val="none"/>
        <vertAlign val="baseline"/>
        <sz val="14"/>
        <color theme="1"/>
        <name val="Arial"/>
        <family val="2"/>
        <scheme val="none"/>
      </font>
      <numFmt numFmtId="165" formatCode="#,##0.00\ &quot;€&quot;"/>
      <alignment vertical="top" textRotation="0" indent="0" justifyLastLine="0" shrinkToFit="0" readingOrder="0"/>
      <border diagonalUp="0" diagonalDown="0">
        <left style="thin">
          <color theme="0"/>
        </left>
        <right/>
        <top style="thin">
          <color theme="0"/>
        </top>
        <bottom style="thin">
          <color theme="0"/>
        </bottom>
      </border>
      <protection locked="0" hidden="0"/>
    </dxf>
    <dxf>
      <font>
        <strike val="0"/>
        <outline val="0"/>
        <shadow val="0"/>
        <u val="none"/>
        <vertAlign val="baseline"/>
        <sz val="14"/>
        <color theme="1"/>
        <name val="Arial"/>
        <family val="2"/>
        <scheme val="none"/>
      </font>
      <numFmt numFmtId="165" formatCode="#,##0.00\ &quot;€&quot;"/>
      <alignment vertical="top" textRotation="0" indent="0" justifyLastLine="0" shrinkToFit="0" readingOrder="0"/>
      <border diagonalUp="0" diagonalDown="0">
        <left style="thin">
          <color theme="0"/>
        </left>
        <right style="thin">
          <color theme="0"/>
        </right>
        <top style="thin">
          <color theme="0"/>
        </top>
        <bottom style="thin">
          <color theme="0"/>
        </bottom>
      </border>
      <protection locked="0" hidden="0"/>
    </dxf>
    <dxf>
      <font>
        <strike val="0"/>
        <outline val="0"/>
        <shadow val="0"/>
        <u val="none"/>
        <vertAlign val="baseline"/>
        <sz val="14"/>
        <color theme="1"/>
        <name val="Arial"/>
        <family val="2"/>
        <scheme val="none"/>
      </font>
      <numFmt numFmtId="165" formatCode="#,##0.00\ &quot;€&quot;"/>
      <alignment vertical="top" textRotation="0" indent="0" justifyLastLine="0" shrinkToFit="0" readingOrder="0"/>
      <border diagonalUp="0" diagonalDown="0">
        <left style="thin">
          <color theme="0"/>
        </left>
        <right style="thin">
          <color theme="0"/>
        </right>
        <top style="thin">
          <color theme="0"/>
        </top>
        <bottom style="thin">
          <color theme="0"/>
        </bottom>
      </border>
      <protection locked="0" hidden="0"/>
    </dxf>
    <dxf>
      <font>
        <strike val="0"/>
        <outline val="0"/>
        <shadow val="0"/>
        <u val="none"/>
        <vertAlign val="baseline"/>
        <sz val="14"/>
        <color theme="1"/>
        <name val="Arial"/>
        <family val="2"/>
        <scheme val="none"/>
      </font>
      <alignment vertical="top" textRotation="0" indent="0" justifyLastLine="0" shrinkToFit="0" readingOrder="0"/>
      <border diagonalUp="0" diagonalDown="0" outline="0">
        <left/>
        <right style="thin">
          <color theme="0"/>
        </right>
        <top style="thin">
          <color theme="0"/>
        </top>
        <bottom style="thin">
          <color theme="0"/>
        </bottom>
      </border>
      <protection locked="0" hidden="0"/>
    </dxf>
    <dxf>
      <border outline="0">
        <top style="thin">
          <color theme="0"/>
        </top>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vertical="center" textRotation="0" wrapText="0" indent="0" justifyLastLine="0" shrinkToFit="0" readingOrder="0"/>
      <border diagonalUp="0" diagonalDown="0" outline="0">
        <left style="thin">
          <color theme="0"/>
        </left>
        <right style="thin">
          <color theme="0"/>
        </right>
        <top/>
        <bottom/>
      </border>
      <protection locked="0" hidden="0"/>
    </dxf>
    <dxf>
      <font>
        <strike val="0"/>
        <outline val="0"/>
        <shadow val="0"/>
        <u val="none"/>
        <vertAlign val="baseline"/>
        <sz val="14"/>
        <color theme="1"/>
        <name val="Arial"/>
        <family val="2"/>
        <scheme val="none"/>
      </font>
      <numFmt numFmtId="165" formatCode="#,##0.00\ &quot;€&quot;"/>
      <alignment vertical="top" textRotation="0" indent="0" justifyLastLine="0" shrinkToFit="0" readingOrder="0"/>
      <border diagonalUp="0" diagonalDown="0">
        <left style="thin">
          <color theme="0"/>
        </left>
        <right/>
        <top style="thin">
          <color theme="0"/>
        </top>
        <bottom style="thin">
          <color theme="0"/>
        </bottom>
      </border>
      <protection locked="1" hidden="0"/>
    </dxf>
    <dxf>
      <font>
        <strike val="0"/>
        <outline val="0"/>
        <shadow val="0"/>
        <u val="none"/>
        <vertAlign val="baseline"/>
        <sz val="14"/>
        <color theme="1"/>
        <name val="Arial"/>
        <family val="2"/>
        <scheme val="none"/>
      </font>
      <numFmt numFmtId="165" formatCode="#,##0.00\ &quot;€&quot;"/>
      <alignment vertical="top" textRotation="0" indent="0" justifyLastLine="0" shrinkToFit="0" readingOrder="0"/>
      <border diagonalUp="0" diagonalDown="0">
        <left style="thin">
          <color theme="0"/>
        </left>
        <right style="thin">
          <color theme="0"/>
        </right>
        <top style="thin">
          <color theme="0"/>
        </top>
        <bottom style="thin">
          <color theme="0"/>
        </bottom>
      </border>
      <protection locked="0" hidden="0"/>
    </dxf>
    <dxf>
      <font>
        <strike val="0"/>
        <outline val="0"/>
        <shadow val="0"/>
        <u val="none"/>
        <vertAlign val="baseline"/>
        <sz val="14"/>
        <color theme="1"/>
        <name val="Arial"/>
        <family val="2"/>
        <scheme val="none"/>
      </font>
      <alignment vertical="top" textRotation="0" indent="0" justifyLastLine="0" shrinkToFit="0" readingOrder="0"/>
      <border diagonalUp="0" diagonalDown="0" outline="0">
        <left/>
        <right style="thin">
          <color theme="0"/>
        </right>
        <top style="thin">
          <color theme="0"/>
        </top>
        <bottom style="thin">
          <color theme="0"/>
        </bottom>
      </border>
      <protection locked="0" hidden="0"/>
    </dxf>
    <dxf>
      <border outline="0">
        <top style="thin">
          <color theme="0"/>
        </top>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vertical="center" textRotation="0" indent="0" justifyLastLine="0" shrinkToFit="0" readingOrder="0"/>
      <border diagonalUp="0" diagonalDown="0" outline="0">
        <left style="thin">
          <color theme="0"/>
        </left>
        <right style="thin">
          <color theme="0"/>
        </right>
        <top/>
        <bottom/>
      </border>
      <protection locked="0" hidden="0"/>
    </dxf>
    <dxf>
      <font>
        <strike val="0"/>
        <outline val="0"/>
        <shadow val="0"/>
        <u val="none"/>
        <vertAlign val="baseline"/>
        <sz val="14"/>
        <color theme="1"/>
        <name val="Arial"/>
        <family val="2"/>
        <scheme val="none"/>
      </font>
      <numFmt numFmtId="165" formatCode="#,##0.00\ &quot;€&quot;"/>
      <alignment vertical="top" textRotation="0" indent="0" justifyLastLine="0" shrinkToFit="0" readingOrder="0"/>
      <border diagonalUp="0" diagonalDown="0">
        <left style="thin">
          <color theme="0"/>
        </left>
        <right/>
        <top style="thin">
          <color theme="0"/>
        </top>
        <bottom style="thin">
          <color theme="0"/>
        </bottom>
      </border>
      <protection locked="1" hidden="0"/>
    </dxf>
    <dxf>
      <font>
        <strike val="0"/>
        <outline val="0"/>
        <shadow val="0"/>
        <u val="none"/>
        <vertAlign val="baseline"/>
        <sz val="14"/>
        <color theme="1"/>
        <name val="Arial"/>
        <family val="2"/>
        <scheme val="none"/>
      </font>
      <numFmt numFmtId="165" formatCode="#,##0.00\ &quot;€&quot;"/>
      <alignment vertical="top" textRotation="0" indent="0" justifyLastLine="0" shrinkToFit="0" readingOrder="0"/>
      <border diagonalUp="0" diagonalDown="0">
        <left style="thin">
          <color theme="0"/>
        </left>
        <right/>
        <top style="thin">
          <color theme="0"/>
        </top>
        <bottom style="thin">
          <color theme="0"/>
        </bottom>
      </border>
      <protection locked="0" hidden="0"/>
    </dxf>
    <dxf>
      <font>
        <strike val="0"/>
        <outline val="0"/>
        <shadow val="0"/>
        <u val="none"/>
        <vertAlign val="baseline"/>
        <sz val="14"/>
        <color theme="1"/>
        <name val="Arial"/>
        <family val="2"/>
        <scheme val="none"/>
      </font>
      <alignment vertical="top" textRotation="0" indent="0" justifyLastLine="0" shrinkToFit="0" readingOrder="0"/>
      <border diagonalUp="0" diagonalDown="0" outline="0">
        <left/>
        <right style="thin">
          <color theme="0"/>
        </right>
        <top style="thin">
          <color theme="0"/>
        </top>
        <bottom style="thin">
          <color theme="0"/>
        </bottom>
      </border>
      <protection locked="0" hidden="0"/>
    </dxf>
    <dxf>
      <border outline="0">
        <top style="thin">
          <color theme="0"/>
        </top>
      </border>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vertical="center" textRotation="0" indent="0" justifyLastLine="0" shrinkToFit="0" readingOrder="0"/>
      <border diagonalUp="0" diagonalDown="0" outline="0">
        <left style="thin">
          <color theme="0"/>
        </left>
        <right style="thin">
          <color theme="0"/>
        </right>
        <top/>
        <bottom/>
      </border>
      <protection locked="0" hidden="0"/>
    </dxf>
    <dxf>
      <font>
        <strike val="0"/>
        <outline val="0"/>
        <shadow val="0"/>
        <u val="none"/>
        <vertAlign val="baseline"/>
        <sz val="14"/>
        <color theme="1"/>
        <name val="Arial"/>
        <family val="2"/>
        <scheme val="none"/>
      </font>
      <numFmt numFmtId="165" formatCode="#,##0.00\ &quot;€&quot;"/>
      <alignment vertical="top" textRotation="0" indent="0" justifyLastLine="0" shrinkToFit="0" readingOrder="0"/>
      <border diagonalUp="0" diagonalDown="0">
        <left style="thin">
          <color theme="0"/>
        </left>
        <right/>
        <top style="thin">
          <color theme="0"/>
        </top>
        <bottom style="thin">
          <color theme="0"/>
        </bottom>
      </border>
      <protection locked="1" hidden="0"/>
    </dxf>
    <dxf>
      <font>
        <strike val="0"/>
        <outline val="0"/>
        <shadow val="0"/>
        <u val="none"/>
        <vertAlign val="baseline"/>
        <sz val="14"/>
        <color theme="1"/>
        <name val="Arial"/>
        <family val="2"/>
        <scheme val="none"/>
      </font>
      <numFmt numFmtId="165" formatCode="#,##0.00\ &quot;€&quot;"/>
      <alignment vertical="top" textRotation="0" indent="0" justifyLastLine="0" shrinkToFit="0" readingOrder="0"/>
      <border diagonalUp="0" diagonalDown="0">
        <left style="thin">
          <color theme="0"/>
        </left>
        <right/>
        <top style="thin">
          <color theme="0"/>
        </top>
        <bottom style="thin">
          <color theme="0"/>
        </bottom>
      </border>
      <protection locked="0" hidden="0"/>
    </dxf>
    <dxf>
      <font>
        <strike val="0"/>
        <outline val="0"/>
        <shadow val="0"/>
        <u val="none"/>
        <vertAlign val="baseline"/>
        <sz val="14"/>
        <color theme="1"/>
        <name val="Arial"/>
        <family val="2"/>
        <scheme val="none"/>
      </font>
      <alignment vertical="top" textRotation="0" indent="0" justifyLastLine="0" shrinkToFit="0" readingOrder="0"/>
      <border diagonalUp="0" diagonalDown="0" outline="0">
        <left/>
        <right style="thin">
          <color theme="0"/>
        </right>
        <top style="thin">
          <color theme="0"/>
        </top>
        <bottom style="thin">
          <color theme="0"/>
        </bottom>
      </border>
      <protection locked="0" hidden="0"/>
    </dxf>
    <dxf>
      <border outline="0">
        <top style="thin">
          <color theme="0"/>
        </top>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horizontal="general" vertical="center" textRotation="0" wrapText="1" indent="0" justifyLastLine="0" shrinkToFit="0" readingOrder="0"/>
      <border diagonalUp="0" diagonalDown="0" outline="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left/>
        <right/>
        <top style="thin">
          <color theme="0"/>
        </top>
        <bottom style="thin">
          <color theme="0"/>
        </bottom>
        <vertical/>
        <horizontal/>
      </border>
      <protection locked="0" hidden="0"/>
    </dxf>
    <dxf>
      <border outline="0">
        <top style="thin">
          <color theme="0"/>
        </top>
      </border>
    </dxf>
    <dxf>
      <border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protection locked="0" hidden="0"/>
    </dxf>
    <dxf>
      <border outline="0">
        <bottom style="thin">
          <color theme="0"/>
        </bottom>
      </border>
    </dxf>
    <dxf>
      <font>
        <b/>
        <i val="0"/>
        <strike val="0"/>
        <condense val="0"/>
        <extend val="0"/>
        <outline val="0"/>
        <shadow val="0"/>
        <u val="none"/>
        <vertAlign val="baseline"/>
        <sz val="14"/>
        <color theme="0"/>
        <name val="Arial"/>
        <family val="2"/>
        <scheme val="none"/>
      </font>
      <fill>
        <patternFill patternType="solid">
          <fgColor indexed="64"/>
          <bgColor theme="4" tint="-0.499984740745262"/>
        </patternFill>
      </fill>
      <alignment horizontal="general" vertical="center" textRotation="0" wrapText="1" indent="0" justifyLastLine="0" shrinkToFit="0" readingOrder="0"/>
      <protection locked="0" hidden="0"/>
    </dxf>
    <dxf>
      <font>
        <b/>
        <strike val="0"/>
        <outline val="0"/>
        <shadow val="0"/>
        <u val="none"/>
        <vertAlign val="baseline"/>
        <sz val="14"/>
        <color theme="1"/>
        <name val="Arial"/>
        <family val="2"/>
        <scheme val="none"/>
      </font>
      <numFmt numFmtId="164" formatCode="#,##0\ &quot;€&quot;"/>
      <alignment horizontal="center" vertical="center" textRotation="0" wrapText="0" indent="0" justifyLastLine="0" shrinkToFit="0" readingOrder="0"/>
      <border diagonalUp="0" diagonalDown="0" outline="0">
        <left style="thin">
          <color theme="0"/>
        </left>
        <right/>
        <top style="thin">
          <color theme="0"/>
        </top>
        <bottom/>
      </border>
      <protection locked="1" hidden="0"/>
    </dxf>
    <dxf>
      <font>
        <b/>
        <strike val="0"/>
        <outline val="0"/>
        <shadow val="0"/>
        <u val="none"/>
        <vertAlign val="baseline"/>
        <sz val="14"/>
        <color theme="1"/>
        <name val="Arial"/>
        <family val="2"/>
        <scheme val="none"/>
      </font>
      <numFmt numFmtId="165" formatCode="#,##0.00\ &quot;€&quot;"/>
      <alignment vertical="top" textRotation="0" indent="0" justifyLastLine="0" shrinkToFit="0" readingOrder="0"/>
      <border diagonalUp="0" diagonalDown="0">
        <left style="thin">
          <color theme="0"/>
        </left>
        <right/>
        <top/>
        <bottom/>
      </border>
      <protection locked="1" hidden="0"/>
    </dxf>
    <dxf>
      <font>
        <b val="0"/>
        <strike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outline="0">
        <left/>
        <right/>
        <top style="thin">
          <color theme="0"/>
        </top>
        <bottom/>
      </border>
      <protection locked="0" hidden="0"/>
    </dxf>
    <dxf>
      <border outline="0">
        <top style="thin">
          <color theme="0"/>
        </top>
      </border>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horizontal="general" vertical="center" textRotation="0" wrapText="1" indent="0" justifyLastLine="0" shrinkToFit="0" readingOrder="0"/>
      <border diagonalUp="0" diagonalDown="0" outline="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style="medium">
          <color theme="4"/>
        </top>
        <bottom style="thin">
          <color theme="0"/>
        </bottom>
      </border>
      <protection locked="0" hidden="0"/>
    </dxf>
    <dxf>
      <font>
        <strike val="0"/>
        <outline val="0"/>
        <shadow val="0"/>
        <u val="none"/>
        <vertAlign val="baseline"/>
        <sz val="14"/>
        <name val="Arial"/>
        <family val="2"/>
        <scheme val="none"/>
      </font>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4"/>
        </top>
        <bottom style="thin">
          <color theme="0"/>
        </bottom>
      </border>
    </dxf>
    <dxf>
      <font>
        <strike val="0"/>
        <outline val="0"/>
        <shadow val="0"/>
        <u val="none"/>
        <vertAlign val="baseline"/>
        <sz val="14"/>
        <name val="Arial"/>
        <family val="2"/>
        <scheme val="none"/>
      </font>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outline="0">
        <left/>
        <right style="thin">
          <color theme="0"/>
        </right>
        <top/>
        <bottom/>
      </border>
      <protection locked="0" hidden="0"/>
    </dxf>
    <dxf>
      <font>
        <strike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outline="0">
        <left/>
        <right style="thin">
          <color theme="4" tint="0.39994506668294322"/>
        </right>
        <top style="thin">
          <color theme="4" tint="0.39994506668294322"/>
        </top>
        <bottom style="thin">
          <color theme="4" tint="0.39994506668294322"/>
        </bottom>
      </border>
      <protection locked="0" hidden="0"/>
    </dxf>
    <dxf>
      <border outline="0">
        <top style="thin">
          <color theme="0"/>
        </top>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horizontal="general" vertical="center" textRotation="0" wrapText="1" indent="0" justifyLastLine="0" shrinkToFit="0" readingOrder="0"/>
      <border diagonalUp="0" diagonalDown="0" outline="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outline="0">
        <left/>
        <right style="thin">
          <color theme="0"/>
        </right>
        <top style="medium">
          <color theme="4"/>
        </top>
        <bottom/>
      </border>
      <protection locked="0" hidden="0"/>
    </dxf>
    <dxf>
      <font>
        <strike val="0"/>
        <outline val="0"/>
        <shadow val="0"/>
        <u val="none"/>
        <vertAlign val="baseline"/>
        <sz val="14"/>
        <color theme="1"/>
        <name val="Arial"/>
        <family val="2"/>
        <scheme val="none"/>
      </font>
      <numFmt numFmtId="30" formatCode="@"/>
      <fill>
        <patternFill patternType="solid">
          <fgColor indexed="64"/>
          <bgColor theme="7" tint="0.79998168889431442"/>
        </patternFill>
      </fill>
      <alignment horizontal="general" vertical="top" textRotation="0" wrapText="0" indent="0" justifyLastLine="0" shrinkToFit="0" readingOrder="0"/>
      <border diagonalUp="0" diagonalDown="0" outline="0">
        <left style="thin">
          <color theme="4" tint="0.39994506668294322"/>
        </left>
        <right style="thin">
          <color theme="0"/>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top style="medium">
          <color theme="4"/>
        </top>
        <bottom/>
      </border>
    </dxf>
    <dxf>
      <font>
        <strike val="0"/>
        <outline val="0"/>
        <shadow val="0"/>
        <u val="none"/>
        <vertAlign val="baseline"/>
        <sz val="14"/>
        <color theme="1"/>
        <name val="Arial"/>
        <family val="2"/>
        <scheme val="none"/>
      </font>
      <alignment vertical="top" textRotation="0" indent="0" justifyLastLine="0" shrinkToFit="0" readingOrder="0"/>
      <border diagonalUp="0" diagonalDown="0" outline="0">
        <left style="thin">
          <color theme="4" tint="0.39994506668294322"/>
        </left>
        <right style="thin">
          <color theme="0"/>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outline="0">
        <left/>
        <right style="thin">
          <color theme="0"/>
        </right>
        <top/>
        <bottom/>
      </border>
      <protection locked="0" hidden="0"/>
    </dxf>
    <dxf>
      <font>
        <strike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outline="0">
        <left/>
        <right style="thin">
          <color theme="4" tint="0.39994506668294322"/>
        </right>
        <top style="thin">
          <color theme="4" tint="0.39994506668294322"/>
        </top>
        <bottom style="thin">
          <color theme="4" tint="0.39994506668294322"/>
        </bottom>
      </border>
      <protection locked="0" hidden="0"/>
    </dxf>
    <dxf>
      <border outline="0">
        <top style="thin">
          <color theme="0"/>
        </top>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horizontal="general" vertical="center" textRotation="0" wrapText="1" indent="0" justifyLastLine="0" shrinkToFit="0" readingOrder="0"/>
      <border diagonalUp="0" diagonalDown="0" outline="0">
        <left style="thin">
          <color theme="0"/>
        </left>
        <right style="thin">
          <color theme="0"/>
        </right>
        <top/>
        <bottom/>
      </border>
      <protection locked="0" hidden="0"/>
    </dxf>
    <dxf>
      <font>
        <b val="0"/>
        <i val="0"/>
      </font>
    </dxf>
    <dxf>
      <font>
        <b/>
        <i val="0"/>
      </font>
    </dxf>
    <dxf>
      <font>
        <b/>
        <i val="0"/>
        <color theme="0"/>
      </font>
      <fill>
        <patternFill>
          <bgColor theme="4" tint="-0.499984740745262"/>
        </patternFill>
      </fill>
    </dxf>
  </dxfs>
  <tableStyles count="1" defaultTableStyle="Helsinki_taulukko_tyyli" defaultPivotStyle="PivotStyleLight16">
    <tableStyle name="Helsinki_taulukko_tyyli" pivot="0" count="3" xr9:uid="{7354961F-7412-694D-9B41-12A9C339B086}">
      <tableStyleElement type="headerRow" dxfId="810"/>
      <tableStyleElement type="totalRow" dxfId="809"/>
      <tableStyleElement type="firstColumnStripe" dxfId="808"/>
    </tableStyle>
  </tableStyles>
  <colors>
    <mruColors>
      <color rgb="FFFFFBF2"/>
      <color rgb="FFFFF8E5"/>
      <color rgb="FFA00000"/>
      <color rgb="FFF1DBFF"/>
      <color rgb="FFE5C3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127000</xdr:colOff>
      <xdr:row>10</xdr:row>
      <xdr:rowOff>114300</xdr:rowOff>
    </xdr:from>
    <xdr:to>
      <xdr:col>12</xdr:col>
      <xdr:colOff>279400</xdr:colOff>
      <xdr:row>13</xdr:row>
      <xdr:rowOff>114300</xdr:rowOff>
    </xdr:to>
    <xdr:sp macro="" textlink="">
      <xdr:nvSpPr>
        <xdr:cNvPr id="4" name="Round Single Corner of Rectangle 3">
          <a:extLst>
            <a:ext uri="{FF2B5EF4-FFF2-40B4-BE49-F238E27FC236}">
              <a16:creationId xmlns:a16="http://schemas.microsoft.com/office/drawing/2014/main" id="{5EDD540C-6EE2-1BFF-75AB-D87842BAB496}"/>
            </a:ext>
            <a:ext uri="{C183D7F6-B498-43B3-948B-1728B52AA6E4}">
              <adec:decorative xmlns:adec="http://schemas.microsoft.com/office/drawing/2017/decorative" val="1"/>
            </a:ext>
          </a:extLst>
        </xdr:cNvPr>
        <xdr:cNvSpPr/>
      </xdr:nvSpPr>
      <xdr:spPr>
        <a:xfrm>
          <a:off x="9982200" y="6007100"/>
          <a:ext cx="6756400" cy="7620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rtl="0"/>
          <a:r>
            <a:rPr lang="sv-fi" sz="1200" b="1">
              <a:solidFill>
                <a:schemeClr val="tx1"/>
              </a:solidFill>
              <a:latin typeface="Arial" panose="020B0604020202020204" pitchFamily="34" charset="0"/>
              <a:cs typeface="Arial" panose="020B0604020202020204" pitchFamily="34" charset="0"/>
            </a:rPr>
            <a:t>Utgifter för grundande av företaget: </a:t>
          </a:r>
          <a:r>
            <a:rPr lang="sv-fi" sz="1200">
              <a:solidFill>
                <a:schemeClr val="tx1"/>
              </a:solidFill>
              <a:latin typeface="Arial" panose="020B0604020202020204" pitchFamily="34" charset="0"/>
              <a:cs typeface="Arial" panose="020B0604020202020204" pitchFamily="34" charset="0"/>
            </a:rPr>
            <a:t>Registrering av en firma kostar 75 €, registrering av ett aktiebolag kostar 300 €. Även kostnader för utarbetande av exempelvis ett aktieavtal eller sektorsspecifika tillstånd kan inkluderas i kostnaderna för grundande.</a:t>
          </a:r>
        </a:p>
      </xdr:txBody>
    </xdr:sp>
    <xdr:clientData/>
  </xdr:twoCellAnchor>
  <xdr:twoCellAnchor>
    <xdr:from>
      <xdr:col>4</xdr:col>
      <xdr:colOff>127000</xdr:colOff>
      <xdr:row>13</xdr:row>
      <xdr:rowOff>190500</xdr:rowOff>
    </xdr:from>
    <xdr:to>
      <xdr:col>12</xdr:col>
      <xdr:colOff>279400</xdr:colOff>
      <xdr:row>16</xdr:row>
      <xdr:rowOff>228600</xdr:rowOff>
    </xdr:to>
    <xdr:sp macro="" textlink="">
      <xdr:nvSpPr>
        <xdr:cNvPr id="5" name="Round Single Corner of Rectangle 4">
          <a:extLst>
            <a:ext uri="{FF2B5EF4-FFF2-40B4-BE49-F238E27FC236}">
              <a16:creationId xmlns:a16="http://schemas.microsoft.com/office/drawing/2014/main" id="{BAD2FEDB-8F91-0E42-A722-E196835FF502}"/>
            </a:ext>
            <a:ext uri="{C183D7F6-B498-43B3-948B-1728B52AA6E4}">
              <adec:decorative xmlns:adec="http://schemas.microsoft.com/office/drawing/2017/decorative" val="1"/>
            </a:ext>
          </a:extLst>
        </xdr:cNvPr>
        <xdr:cNvSpPr/>
      </xdr:nvSpPr>
      <xdr:spPr>
        <a:xfrm>
          <a:off x="9982200" y="6845300"/>
          <a:ext cx="6756400" cy="8001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rtl="0"/>
          <a:r>
            <a:rPr lang="sv-fi" sz="1200" b="1">
              <a:solidFill>
                <a:schemeClr val="tx1"/>
              </a:solidFill>
              <a:latin typeface="Arial" panose="020B0604020202020204" pitchFamily="34" charset="0"/>
              <a:cs typeface="Arial" panose="020B0604020202020204" pitchFamily="34" charset="0"/>
            </a:rPr>
            <a:t>Färdiga</a:t>
          </a:r>
          <a:r>
            <a:rPr lang="sv-fi" sz="1200" b="1" baseline="0">
              <a:solidFill>
                <a:schemeClr val="tx1"/>
              </a:solidFill>
              <a:latin typeface="Arial" panose="020B0604020202020204" pitchFamily="34" charset="0"/>
              <a:cs typeface="Arial" panose="020B0604020202020204" pitchFamily="34" charset="0"/>
            </a:rPr>
            <a:t> arbetsredskap</a:t>
          </a:r>
          <a:r>
            <a:rPr lang="sv-fi" sz="1200" b="0">
              <a:solidFill>
                <a:schemeClr val="tx1"/>
              </a:solidFill>
              <a:latin typeface="Arial" panose="020B0604020202020204" pitchFamily="34" charset="0"/>
              <a:cs typeface="Arial" panose="020B0604020202020204" pitchFamily="34" charset="0"/>
            </a:rPr>
            <a:t>: Skriv här in det uppskattade värdet på eventuella existerade arbetsredskap för din affärsverksamhet. Kalkylen överför automatiskt deras värde även till tabellen “Penningkällor” vid punkten “Egna arbetsredskap”.</a:t>
          </a:r>
        </a:p>
      </xdr:txBody>
    </xdr:sp>
    <xdr:clientData/>
  </xdr:twoCellAnchor>
  <xdr:twoCellAnchor>
    <xdr:from>
      <xdr:col>4</xdr:col>
      <xdr:colOff>127000</xdr:colOff>
      <xdr:row>25</xdr:row>
      <xdr:rowOff>76200</xdr:rowOff>
    </xdr:from>
    <xdr:to>
      <xdr:col>12</xdr:col>
      <xdr:colOff>279400</xdr:colOff>
      <xdr:row>28</xdr:row>
      <xdr:rowOff>152400</xdr:rowOff>
    </xdr:to>
    <xdr:sp macro="" textlink="">
      <xdr:nvSpPr>
        <xdr:cNvPr id="6" name="Round Single Corner of Rectangle 5">
          <a:extLst>
            <a:ext uri="{FF2B5EF4-FFF2-40B4-BE49-F238E27FC236}">
              <a16:creationId xmlns:a16="http://schemas.microsoft.com/office/drawing/2014/main" id="{3E722A92-ED02-B24F-8C7A-0950F0AC9E91}"/>
            </a:ext>
            <a:ext uri="{C183D7F6-B498-43B3-948B-1728B52AA6E4}">
              <adec:decorative xmlns:adec="http://schemas.microsoft.com/office/drawing/2017/decorative" val="1"/>
            </a:ext>
          </a:extLst>
        </xdr:cNvPr>
        <xdr:cNvSpPr/>
      </xdr:nvSpPr>
      <xdr:spPr>
        <a:xfrm>
          <a:off x="10731500" y="10820400"/>
          <a:ext cx="6756400" cy="8382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rtl="0"/>
          <a:r>
            <a:rPr lang="sv-fi" sz="1200" b="1">
              <a:solidFill>
                <a:schemeClr val="tx1"/>
              </a:solidFill>
              <a:latin typeface="Arial" panose="020B0604020202020204" pitchFamily="34" charset="0"/>
              <a:cs typeface="Arial" panose="020B0604020202020204" pitchFamily="34" charset="0"/>
            </a:rPr>
            <a:t>Hyra för lokaler / hyressäkerheter: </a:t>
          </a:r>
          <a:r>
            <a:rPr lang="sv-fi" sz="1200" b="0">
              <a:solidFill>
                <a:schemeClr val="tx1"/>
              </a:solidFill>
              <a:latin typeface="Arial" panose="020B0604020202020204" pitchFamily="34" charset="0"/>
              <a:cs typeface="Arial" panose="020B0604020202020204" pitchFamily="34" charset="0"/>
            </a:rPr>
            <a:t>Om du uppskattar att det kommer att ta 3 månader innan du genom intern finansiering (pengar från kunder) kan betala för hyran, och du är tvungen att betala en hyressäkerhet på 3 månader, ska du här skriva in din månadshyra x 6.</a:t>
          </a:r>
        </a:p>
      </xdr:txBody>
    </xdr:sp>
    <xdr:clientData/>
  </xdr:twoCellAnchor>
  <xdr:twoCellAnchor>
    <xdr:from>
      <xdr:col>4</xdr:col>
      <xdr:colOff>127000</xdr:colOff>
      <xdr:row>28</xdr:row>
      <xdr:rowOff>222250</xdr:rowOff>
    </xdr:from>
    <xdr:to>
      <xdr:col>12</xdr:col>
      <xdr:colOff>279400</xdr:colOff>
      <xdr:row>32</xdr:row>
      <xdr:rowOff>12700</xdr:rowOff>
    </xdr:to>
    <xdr:sp macro="" textlink="">
      <xdr:nvSpPr>
        <xdr:cNvPr id="7" name="Round Single Corner of Rectangle 6">
          <a:extLst>
            <a:ext uri="{FF2B5EF4-FFF2-40B4-BE49-F238E27FC236}">
              <a16:creationId xmlns:a16="http://schemas.microsoft.com/office/drawing/2014/main" id="{4E4DFBAC-1BBF-CD4B-B5A1-EB24A8C63AE5}"/>
            </a:ext>
            <a:ext uri="{C183D7F6-B498-43B3-948B-1728B52AA6E4}">
              <adec:decorative xmlns:adec="http://schemas.microsoft.com/office/drawing/2017/decorative" val="1"/>
            </a:ext>
          </a:extLst>
        </xdr:cNvPr>
        <xdr:cNvSpPr/>
      </xdr:nvSpPr>
      <xdr:spPr>
        <a:xfrm>
          <a:off x="10731500" y="11728450"/>
          <a:ext cx="6756400" cy="80645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rtl="0"/>
          <a:r>
            <a:rPr lang="sv-fi" sz="1200" b="1">
              <a:solidFill>
                <a:schemeClr val="tx1"/>
              </a:solidFill>
              <a:latin typeface="Arial" panose="020B0604020202020204" pitchFamily="34" charset="0"/>
              <a:cs typeface="Arial" panose="020B0604020202020204" pitchFamily="34" charset="0"/>
            </a:rPr>
            <a:t>Företagarens egen utkomst: </a:t>
          </a:r>
          <a:r>
            <a:rPr lang="sv-fi" sz="1200" b="0">
              <a:solidFill>
                <a:schemeClr val="tx1"/>
              </a:solidFill>
              <a:latin typeface="Arial" panose="020B0604020202020204" pitchFamily="34" charset="0"/>
              <a:cs typeface="Arial" panose="020B0604020202020204" pitchFamily="34" charset="0"/>
            </a:rPr>
            <a:t>Hur mycket behöver du i månaden för dina egna obligatoriska utgifter? Multiplicera detta belopp med antalet månader fram till att du uppskattar att verksamheten börjar producera utkomst för dig.</a:t>
          </a:r>
        </a:p>
      </xdr:txBody>
    </xdr:sp>
    <xdr:clientData/>
  </xdr:twoCellAnchor>
  <xdr:twoCellAnchor>
    <xdr:from>
      <xdr:col>4</xdr:col>
      <xdr:colOff>127000</xdr:colOff>
      <xdr:row>49</xdr:row>
      <xdr:rowOff>419100</xdr:rowOff>
    </xdr:from>
    <xdr:to>
      <xdr:col>12</xdr:col>
      <xdr:colOff>368300</xdr:colOff>
      <xdr:row>51</xdr:row>
      <xdr:rowOff>152400</xdr:rowOff>
    </xdr:to>
    <xdr:sp macro="" textlink="">
      <xdr:nvSpPr>
        <xdr:cNvPr id="8" name="Round Single Corner of Rectangle 7">
          <a:extLst>
            <a:ext uri="{FF2B5EF4-FFF2-40B4-BE49-F238E27FC236}">
              <a16:creationId xmlns:a16="http://schemas.microsoft.com/office/drawing/2014/main" id="{E9CC5DA7-8BD0-184A-A09F-99EC975A1E8B}"/>
            </a:ext>
            <a:ext uri="{C183D7F6-B498-43B3-948B-1728B52AA6E4}">
              <adec:decorative xmlns:adec="http://schemas.microsoft.com/office/drawing/2017/decorative" val="1"/>
            </a:ext>
          </a:extLst>
        </xdr:cNvPr>
        <xdr:cNvSpPr/>
      </xdr:nvSpPr>
      <xdr:spPr>
        <a:xfrm>
          <a:off x="11684000" y="17132300"/>
          <a:ext cx="6845300" cy="10033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rtl="0"/>
          <a:r>
            <a:rPr lang="sv-fi" sz="1200" b="1">
              <a:solidFill>
                <a:schemeClr val="tx1"/>
              </a:solidFill>
              <a:latin typeface="Arial" panose="020B0604020202020204" pitchFamily="34" charset="0"/>
              <a:cs typeface="Arial" panose="020B0604020202020204" pitchFamily="34" charset="0"/>
            </a:rPr>
            <a:t>Differensen mellan penningkällor och behov av pengar: </a:t>
          </a:r>
          <a:r>
            <a:rPr lang="sv-fi" sz="1200" b="0">
              <a:solidFill>
                <a:schemeClr val="tx1"/>
              </a:solidFill>
              <a:latin typeface="Arial" panose="020B0604020202020204" pitchFamily="34" charset="0"/>
              <a:cs typeface="Arial" panose="020B0604020202020204" pitchFamily="34" charset="0"/>
            </a:rPr>
            <a:t>Finansieringskalkylen har gjorts korrekt, då behovet av pengar är lika med penningkällorna. Om du får ett resultat med minustecken som differens, ska du öka summan för penningkällorna, så att den motsvarar behovet av pengar.</a:t>
          </a:r>
        </a:p>
      </xdr:txBody>
    </xdr:sp>
    <xdr:clientData/>
  </xdr:twoCellAnchor>
  <xdr:twoCellAnchor editAs="oneCell">
    <xdr:from>
      <xdr:col>0</xdr:col>
      <xdr:colOff>177800</xdr:colOff>
      <xdr:row>0</xdr:row>
      <xdr:rowOff>152400</xdr:rowOff>
    </xdr:from>
    <xdr:to>
      <xdr:col>0</xdr:col>
      <xdr:colOff>2247900</xdr:colOff>
      <xdr:row>0</xdr:row>
      <xdr:rowOff>520700</xdr:rowOff>
    </xdr:to>
    <xdr:pic>
      <xdr:nvPicPr>
        <xdr:cNvPr id="3" name="Picture 2">
          <a:extLst>
            <a:ext uri="{FF2B5EF4-FFF2-40B4-BE49-F238E27FC236}">
              <a16:creationId xmlns:a16="http://schemas.microsoft.com/office/drawing/2014/main" id="{2CA95A8D-67F7-4FBF-BE1C-9370FC21122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800" y="152400"/>
          <a:ext cx="2070100" cy="3683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98424</xdr:colOff>
      <xdr:row>38</xdr:row>
      <xdr:rowOff>69851</xdr:rowOff>
    </xdr:from>
    <xdr:to>
      <xdr:col>7</xdr:col>
      <xdr:colOff>127000</xdr:colOff>
      <xdr:row>40</xdr:row>
      <xdr:rowOff>238125</xdr:rowOff>
    </xdr:to>
    <xdr:sp macro="" textlink="">
      <xdr:nvSpPr>
        <xdr:cNvPr id="4" name="Rectangle 3">
          <a:extLst>
            <a:ext uri="{FF2B5EF4-FFF2-40B4-BE49-F238E27FC236}">
              <a16:creationId xmlns:a16="http://schemas.microsoft.com/office/drawing/2014/main" id="{FFC2147B-869E-D84D-8BA1-D66361A1619E}"/>
            </a:ext>
            <a:ext uri="{C183D7F6-B498-43B3-948B-1728B52AA6E4}">
              <adec:decorative xmlns:adec="http://schemas.microsoft.com/office/drawing/2017/decorative" val="1"/>
            </a:ext>
          </a:extLst>
        </xdr:cNvPr>
        <xdr:cNvSpPr/>
      </xdr:nvSpPr>
      <xdr:spPr>
        <a:xfrm>
          <a:off x="12252324" y="13214351"/>
          <a:ext cx="3546476" cy="676274"/>
        </a:xfrm>
        <a:prstGeom prst="rect">
          <a:avLst/>
        </a:prstGeom>
        <a:solidFill>
          <a:srgbClr val="F1DB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rtl="0"/>
          <a:r>
            <a:rPr lang="sv-fi" sz="1200" b="0">
              <a:solidFill>
                <a:sysClr val="windowText" lastClr="000000"/>
              </a:solidFill>
              <a:effectLst/>
              <a:latin typeface="Arial" panose="020B0604020202020204" pitchFamily="34" charset="0"/>
              <a:cs typeface="Arial" panose="020B0604020202020204" pitchFamily="34" charset="0"/>
            </a:rPr>
            <a:t>Täckningsbehovet per månad överförs automatiskt till tabellen "sammandrag av försäljningen" i försäljningskalkylen per månad.</a:t>
          </a:r>
          <a:endParaRPr lang="en-FI" sz="1200" b="0">
            <a:solidFill>
              <a:sysClr val="windowText" lastClr="000000"/>
            </a:solidFill>
            <a:effectLst/>
            <a:latin typeface="Arial" panose="020B0604020202020204" pitchFamily="34" charset="0"/>
            <a:cs typeface="Arial" panose="020B0604020202020204" pitchFamily="34" charset="0"/>
          </a:endParaRPr>
        </a:p>
      </xdr:txBody>
    </xdr:sp>
    <xdr:clientData/>
  </xdr:twoCellAnchor>
  <xdr:twoCellAnchor>
    <xdr:from>
      <xdr:col>5</xdr:col>
      <xdr:colOff>0</xdr:colOff>
      <xdr:row>2</xdr:row>
      <xdr:rowOff>812800</xdr:rowOff>
    </xdr:from>
    <xdr:to>
      <xdr:col>11</xdr:col>
      <xdr:colOff>812800</xdr:colOff>
      <xdr:row>3</xdr:row>
      <xdr:rowOff>508000</xdr:rowOff>
    </xdr:to>
    <xdr:sp macro="" textlink="">
      <xdr:nvSpPr>
        <xdr:cNvPr id="7" name="Round Single Corner of Rectangle 6">
          <a:extLst>
            <a:ext uri="{FF2B5EF4-FFF2-40B4-BE49-F238E27FC236}">
              <a16:creationId xmlns:a16="http://schemas.microsoft.com/office/drawing/2014/main" id="{C6EE1072-630F-B84B-9031-C12546F4C3E5}"/>
            </a:ext>
            <a:ext uri="{C183D7F6-B498-43B3-948B-1728B52AA6E4}">
              <adec:decorative xmlns:adec="http://schemas.microsoft.com/office/drawing/2017/decorative" val="1"/>
            </a:ext>
          </a:extLst>
        </xdr:cNvPr>
        <xdr:cNvSpPr/>
      </xdr:nvSpPr>
      <xdr:spPr>
        <a:xfrm>
          <a:off x="14020800" y="1955800"/>
          <a:ext cx="5765800" cy="12827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lang="sv-fi" sz="1200" b="1">
              <a:solidFill>
                <a:schemeClr val="tx1"/>
              </a:solidFill>
              <a:latin typeface="Arial" panose="020B0604020202020204" pitchFamily="34" charset="0"/>
              <a:cs typeface="Arial" panose="020B0604020202020204" pitchFamily="34" charset="0"/>
            </a:rPr>
            <a:t>Nettoinkomst för firmaföretagare eller resultat för aktiebolag:</a:t>
          </a:r>
          <a:r>
            <a:rPr lang="sv-fi" sz="1200" b="0">
              <a:solidFill>
                <a:schemeClr val="tx1"/>
              </a:solidFill>
              <a:latin typeface="Arial" panose="020B0604020202020204" pitchFamily="34" charset="0"/>
              <a:cs typeface="Arial" panose="020B0604020202020204" pitchFamily="34" charset="0"/>
            </a:rPr>
            <a:t> Med målresultat avses nettointäktsbehovet för företagarens egen företagsverksamhet. Du får det genom att bedöma hur mycket pengar du behöver i månaden för dina personliga utgifter (boende, mat, kläder etc.). Du kan också bedöma målresultatet med hjälp av den lön du får i ett anställningsförhållande. För aktiebolag kommer bruttolönen på rad 17.</a:t>
          </a:r>
        </a:p>
      </xdr:txBody>
    </xdr:sp>
    <xdr:clientData/>
  </xdr:twoCellAnchor>
  <xdr:twoCellAnchor>
    <xdr:from>
      <xdr:col>5</xdr:col>
      <xdr:colOff>0</xdr:colOff>
      <xdr:row>3</xdr:row>
      <xdr:rowOff>596900</xdr:rowOff>
    </xdr:from>
    <xdr:to>
      <xdr:col>11</xdr:col>
      <xdr:colOff>812800</xdr:colOff>
      <xdr:row>8</xdr:row>
      <xdr:rowOff>76200</xdr:rowOff>
    </xdr:to>
    <xdr:sp macro="" textlink="">
      <xdr:nvSpPr>
        <xdr:cNvPr id="8" name="Round Single Corner of Rectangle 7">
          <a:extLst>
            <a:ext uri="{FF2B5EF4-FFF2-40B4-BE49-F238E27FC236}">
              <a16:creationId xmlns:a16="http://schemas.microsoft.com/office/drawing/2014/main" id="{C7459009-1D4D-2B44-A7CB-844BA4431FD6}"/>
            </a:ext>
            <a:ext uri="{C183D7F6-B498-43B3-948B-1728B52AA6E4}">
              <adec:decorative xmlns:adec="http://schemas.microsoft.com/office/drawing/2017/decorative" val="1"/>
            </a:ext>
          </a:extLst>
        </xdr:cNvPr>
        <xdr:cNvSpPr/>
      </xdr:nvSpPr>
      <xdr:spPr>
        <a:xfrm>
          <a:off x="14020800" y="3327400"/>
          <a:ext cx="5765800" cy="12573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rtl="0"/>
          <a:r>
            <a:rPr lang="sv-fi" sz="1200" b="1">
              <a:solidFill>
                <a:schemeClr val="tx1"/>
              </a:solidFill>
              <a:latin typeface="Arial" panose="020B0604020202020204" pitchFamily="34" charset="0"/>
              <a:cs typeface="Arial" panose="020B0604020202020204" pitchFamily="34" charset="0"/>
            </a:rPr>
            <a:t>Nettointäkter: </a:t>
          </a:r>
          <a:r>
            <a:rPr lang="sv-fi" sz="1200" b="0">
              <a:solidFill>
                <a:schemeClr val="tx1"/>
              </a:solidFill>
              <a:latin typeface="Arial" panose="020B0604020202020204" pitchFamily="34" charset="0"/>
              <a:cs typeface="Arial" panose="020B0604020202020204" pitchFamily="34" charset="0"/>
            </a:rPr>
            <a:t>Till målresultatet läggs amorteringen på lån för företagsverksamheten, varvid man får nettointäkterna. När skatterna läggs till nettointäkterna, får man finansieringsbehovet. När man till finansieringsbehovet lägger till räntorna på lån för företagsverksamheten, får man det belopp som man genom företagsverksamheten bör förtjäna för att leva och sköta lån för företagsverksamheten.</a:t>
          </a:r>
        </a:p>
      </xdr:txBody>
    </xdr:sp>
    <xdr:clientData/>
  </xdr:twoCellAnchor>
  <xdr:twoCellAnchor>
    <xdr:from>
      <xdr:col>5</xdr:col>
      <xdr:colOff>0</xdr:colOff>
      <xdr:row>8</xdr:row>
      <xdr:rowOff>165100</xdr:rowOff>
    </xdr:from>
    <xdr:to>
      <xdr:col>11</xdr:col>
      <xdr:colOff>812800</xdr:colOff>
      <xdr:row>13</xdr:row>
      <xdr:rowOff>127000</xdr:rowOff>
    </xdr:to>
    <xdr:sp macro="" textlink="">
      <xdr:nvSpPr>
        <xdr:cNvPr id="9" name="Round Single Corner of Rectangle 8">
          <a:extLst>
            <a:ext uri="{FF2B5EF4-FFF2-40B4-BE49-F238E27FC236}">
              <a16:creationId xmlns:a16="http://schemas.microsoft.com/office/drawing/2014/main" id="{596D82E4-10C7-1045-A32E-FA81B40073D1}"/>
            </a:ext>
            <a:ext uri="{C183D7F6-B498-43B3-948B-1728B52AA6E4}">
              <adec:decorative xmlns:adec="http://schemas.microsoft.com/office/drawing/2017/decorative" val="1"/>
            </a:ext>
          </a:extLst>
        </xdr:cNvPr>
        <xdr:cNvSpPr/>
      </xdr:nvSpPr>
      <xdr:spPr>
        <a:xfrm>
          <a:off x="11112500" y="3949700"/>
          <a:ext cx="5765800" cy="14224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sv-fi" sz="1200" b="1">
              <a:solidFill>
                <a:schemeClr val="tx1"/>
              </a:solidFill>
              <a:latin typeface="Arial" panose="020B0604020202020204" pitchFamily="34" charset="0"/>
              <a:cs typeface="Arial" panose="020B0604020202020204" pitchFamily="34" charset="0"/>
            </a:rPr>
            <a:t>Skatter på inkomst: </a:t>
          </a:r>
          <a:r>
            <a:rPr lang="sv-fi" sz="1200" b="0">
              <a:solidFill>
                <a:schemeClr val="tx1"/>
              </a:solidFill>
              <a:latin typeface="Arial" panose="020B0604020202020204" pitchFamily="34" charset="0"/>
              <a:cs typeface="Arial" panose="020B0604020202020204" pitchFamily="34" charset="0"/>
            </a:rPr>
            <a:t>Till exempel betalar en firmaföretagare med en nettoinkomst på 1 800 € i månaden som företagare cirka 90 € i skatt per månad. Beräknat utan andra inkomster, hör till kyrkan (ev.lut.) och FöPL betalas enligt minsta arbetsinkomst. Se mer detaljer om din skatteprocent </a:t>
          </a:r>
          <a:r>
            <a:rPr lang="sv-fi" sz="1200" b="0" baseline="0">
              <a:solidFill>
                <a:schemeClr val="tx1"/>
              </a:solidFill>
              <a:latin typeface="Arial" panose="020B0604020202020204" pitchFamily="34" charset="0"/>
              <a:cs typeface="Arial" panose="020B0604020202020204" pitchFamily="34" charset="0"/>
            </a:rPr>
            <a:t>med skatteprocenträknaren på skatteförvaltningens webbplats. </a:t>
          </a:r>
          <a:r>
            <a:rPr lang="sv-fi" sz="1200" b="0">
              <a:solidFill>
                <a:schemeClr val="tx1"/>
              </a:solidFill>
              <a:latin typeface="Arial" panose="020B0604020202020204" pitchFamily="34" charset="0"/>
              <a:cs typeface="Arial" panose="020B0604020202020204" pitchFamily="34" charset="0"/>
            </a:rPr>
            <a:t>Samfundsskatten för ett aktiebolag är alltid 20 procent, och utöver detta betalar företagaren själv skatter på sin förvärvsinkomst, det vill säga sin lön.</a:t>
          </a:r>
        </a:p>
      </xdr:txBody>
    </xdr:sp>
    <xdr:clientData/>
  </xdr:twoCellAnchor>
  <xdr:twoCellAnchor>
    <xdr:from>
      <xdr:col>5</xdr:col>
      <xdr:colOff>0</xdr:colOff>
      <xdr:row>13</xdr:row>
      <xdr:rowOff>203200</xdr:rowOff>
    </xdr:from>
    <xdr:to>
      <xdr:col>11</xdr:col>
      <xdr:colOff>812800</xdr:colOff>
      <xdr:row>17</xdr:row>
      <xdr:rowOff>241300</xdr:rowOff>
    </xdr:to>
    <xdr:sp macro="" textlink="">
      <xdr:nvSpPr>
        <xdr:cNvPr id="10" name="Round Single Corner of Rectangle 9">
          <a:extLst>
            <a:ext uri="{FF2B5EF4-FFF2-40B4-BE49-F238E27FC236}">
              <a16:creationId xmlns:a16="http://schemas.microsoft.com/office/drawing/2014/main" id="{57EF678E-0E58-A945-BB65-AF76F5244B4C}"/>
            </a:ext>
            <a:ext uri="{C183D7F6-B498-43B3-948B-1728B52AA6E4}">
              <adec:decorative xmlns:adec="http://schemas.microsoft.com/office/drawing/2017/decorative" val="1"/>
            </a:ext>
          </a:extLst>
        </xdr:cNvPr>
        <xdr:cNvSpPr/>
      </xdr:nvSpPr>
      <xdr:spPr>
        <a:xfrm>
          <a:off x="11112500" y="5448300"/>
          <a:ext cx="5765800" cy="10541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rtl="0"/>
          <a:r>
            <a:rPr lang="sv-fi" sz="1200" b="1">
              <a:solidFill>
                <a:schemeClr val="tx1"/>
              </a:solidFill>
              <a:latin typeface="Arial" panose="020B0604020202020204" pitchFamily="34" charset="0"/>
              <a:cs typeface="Arial" panose="020B0604020202020204" pitchFamily="34" charset="0"/>
            </a:rPr>
            <a:t>Fasta kostnader: </a:t>
          </a:r>
          <a:r>
            <a:rPr lang="sv-fi" sz="1200" b="0">
              <a:solidFill>
                <a:schemeClr val="tx1"/>
              </a:solidFill>
              <a:latin typeface="Arial" panose="020B0604020202020204" pitchFamily="34" charset="0"/>
              <a:cs typeface="Arial" panose="020B0604020202020204" pitchFamily="34" charset="0"/>
            </a:rPr>
            <a:t>Fasta kostnader är utgifter som inte beror på storleken för företagets fakturering, utan fortsätter från en månad till en annan med ungefär samma belopp. Fasta kostnader är exempelvis löner för andra anställda, försäkringar, hyror, kontorskostnader, el/vatten etc.</a:t>
          </a:r>
        </a:p>
      </xdr:txBody>
    </xdr:sp>
    <xdr:clientData/>
  </xdr:twoCellAnchor>
  <xdr:twoCellAnchor>
    <xdr:from>
      <xdr:col>5</xdr:col>
      <xdr:colOff>0</xdr:colOff>
      <xdr:row>18</xdr:row>
      <xdr:rowOff>50800</xdr:rowOff>
    </xdr:from>
    <xdr:to>
      <xdr:col>11</xdr:col>
      <xdr:colOff>812800</xdr:colOff>
      <xdr:row>23</xdr:row>
      <xdr:rowOff>203200</xdr:rowOff>
    </xdr:to>
    <xdr:sp macro="" textlink="">
      <xdr:nvSpPr>
        <xdr:cNvPr id="11" name="Round Single Corner of Rectangle 10">
          <a:extLst>
            <a:ext uri="{FF2B5EF4-FFF2-40B4-BE49-F238E27FC236}">
              <a16:creationId xmlns:a16="http://schemas.microsoft.com/office/drawing/2014/main" id="{C62E9EE0-50B3-4947-BAEC-356B32BA359E}"/>
            </a:ext>
            <a:ext uri="{C183D7F6-B498-43B3-948B-1728B52AA6E4}">
              <adec:decorative xmlns:adec="http://schemas.microsoft.com/office/drawing/2017/decorative" val="1"/>
            </a:ext>
          </a:extLst>
        </xdr:cNvPr>
        <xdr:cNvSpPr/>
      </xdr:nvSpPr>
      <xdr:spPr>
        <a:xfrm>
          <a:off x="11112500" y="6565900"/>
          <a:ext cx="5765800" cy="14224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lang="sv-fi" sz="1200" b="1">
              <a:solidFill>
                <a:schemeClr val="tx1"/>
              </a:solidFill>
              <a:latin typeface="Arial" panose="020B0604020202020204" pitchFamily="34" charset="0"/>
              <a:cs typeface="Arial" panose="020B0604020202020204" pitchFamily="34" charset="0"/>
            </a:rPr>
            <a:t>Företagarens pensionsförsäkring: </a:t>
          </a:r>
          <a:r>
            <a:rPr lang="sv-fi" sz="1200" b="0">
              <a:solidFill>
                <a:schemeClr val="tx1"/>
              </a:solidFill>
              <a:latin typeface="Arial" panose="020B0604020202020204" pitchFamily="34" charset="0"/>
              <a:cs typeface="Arial" panose="020B0604020202020204" pitchFamily="34" charset="0"/>
            </a:rPr>
            <a:t>Företagarens pensionsförsäkring (FöPL) är obligatorisk och bedöms på basis av företagarens egen FöPL-arbetsinomst. En ny företagare får 22 procent rabatt på de första 48 månaderna. Till exempel, med en årsarbetsinkomst på 15</a:t>
          </a:r>
          <a:r>
            <a:rPr lang="sv-fi" sz="1200" b="0" baseline="0">
              <a:solidFill>
                <a:schemeClr val="tx1"/>
              </a:solidFill>
              <a:latin typeface="Arial" panose="020B0604020202020204" pitchFamily="34" charset="0"/>
              <a:cs typeface="Arial" panose="020B0604020202020204" pitchFamily="34" charset="0"/>
            </a:rPr>
            <a:t> 481</a:t>
          </a:r>
          <a:r>
            <a:rPr lang="sv-fi" sz="1200" b="0">
              <a:solidFill>
                <a:schemeClr val="tx1"/>
              </a:solidFill>
              <a:latin typeface="Arial" panose="020B0604020202020204" pitchFamily="34" charset="0"/>
              <a:cs typeface="Arial" panose="020B0604020202020204" pitchFamily="34" charset="0"/>
            </a:rPr>
            <a:t> € är den nedsatta FöPL-månadsavgiften för en person under 53 år 246 €/månad. Pensionsförsäkringen för arbetare (ArPL) är obligatorisk när företaget anställer en avlönad arbetstagare.</a:t>
          </a:r>
        </a:p>
      </xdr:txBody>
    </xdr:sp>
    <xdr:clientData/>
  </xdr:twoCellAnchor>
  <xdr:twoCellAnchor>
    <xdr:from>
      <xdr:col>5</xdr:col>
      <xdr:colOff>0</xdr:colOff>
      <xdr:row>27</xdr:row>
      <xdr:rowOff>88900</xdr:rowOff>
    </xdr:from>
    <xdr:to>
      <xdr:col>11</xdr:col>
      <xdr:colOff>812800</xdr:colOff>
      <xdr:row>30</xdr:row>
      <xdr:rowOff>63500</xdr:rowOff>
    </xdr:to>
    <xdr:sp macro="" textlink="">
      <xdr:nvSpPr>
        <xdr:cNvPr id="12" name="Round Single Corner of Rectangle 11">
          <a:extLst>
            <a:ext uri="{FF2B5EF4-FFF2-40B4-BE49-F238E27FC236}">
              <a16:creationId xmlns:a16="http://schemas.microsoft.com/office/drawing/2014/main" id="{A28F20F1-775A-9F4A-A7E9-F3F8566A0BD7}"/>
            </a:ext>
            <a:ext uri="{C183D7F6-B498-43B3-948B-1728B52AA6E4}">
              <adec:decorative xmlns:adec="http://schemas.microsoft.com/office/drawing/2017/decorative" val="1"/>
            </a:ext>
          </a:extLst>
        </xdr:cNvPr>
        <xdr:cNvSpPr/>
      </xdr:nvSpPr>
      <xdr:spPr>
        <a:xfrm>
          <a:off x="12954000" y="9613900"/>
          <a:ext cx="5765800" cy="7366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rtl="0"/>
          <a:r>
            <a:rPr lang="sv-fi" sz="1200" b="1">
              <a:solidFill>
                <a:schemeClr val="tx1"/>
              </a:solidFill>
              <a:latin typeface="Arial" panose="020B0604020202020204" pitchFamily="34" charset="0"/>
              <a:cs typeface="Arial" panose="020B0604020202020204" pitchFamily="34" charset="0"/>
            </a:rPr>
            <a:t>Behov av försäljningstäckning: </a:t>
          </a:r>
          <a:r>
            <a:rPr lang="sv-fi" sz="1200" b="0">
              <a:solidFill>
                <a:schemeClr val="tx1"/>
              </a:solidFill>
              <a:latin typeface="Arial" panose="020B0604020202020204" pitchFamily="34" charset="0"/>
              <a:cs typeface="Arial" panose="020B0604020202020204" pitchFamily="34" charset="0"/>
            </a:rPr>
            <a:t>Genom att räkna ihop finansieringsbehovet för företagsverksamheten, räntorna på företagslån och de fasta kostnaderna, får man behovet av försäljningstäckning.</a:t>
          </a:r>
        </a:p>
      </xdr:txBody>
    </xdr:sp>
    <xdr:clientData/>
  </xdr:twoCellAnchor>
  <xdr:twoCellAnchor>
    <xdr:from>
      <xdr:col>5</xdr:col>
      <xdr:colOff>0</xdr:colOff>
      <xdr:row>30</xdr:row>
      <xdr:rowOff>139700</xdr:rowOff>
    </xdr:from>
    <xdr:to>
      <xdr:col>11</xdr:col>
      <xdr:colOff>812800</xdr:colOff>
      <xdr:row>32</xdr:row>
      <xdr:rowOff>241300</xdr:rowOff>
    </xdr:to>
    <xdr:sp macro="" textlink="">
      <xdr:nvSpPr>
        <xdr:cNvPr id="15" name="Round Single Corner of Rectangle 14">
          <a:extLst>
            <a:ext uri="{FF2B5EF4-FFF2-40B4-BE49-F238E27FC236}">
              <a16:creationId xmlns:a16="http://schemas.microsoft.com/office/drawing/2014/main" id="{A2AA5BE4-565F-854F-B447-AAEEFE22B937}"/>
            </a:ext>
            <a:ext uri="{C183D7F6-B498-43B3-948B-1728B52AA6E4}">
              <adec:decorative xmlns:adec="http://schemas.microsoft.com/office/drawing/2017/decorative" val="1"/>
            </a:ext>
          </a:extLst>
        </xdr:cNvPr>
        <xdr:cNvSpPr/>
      </xdr:nvSpPr>
      <xdr:spPr>
        <a:xfrm>
          <a:off x="11112500" y="8788400"/>
          <a:ext cx="5765800" cy="6096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rtl="0"/>
          <a:r>
            <a:rPr lang="sv-fi" sz="1200" b="1">
              <a:solidFill>
                <a:schemeClr val="tx1"/>
              </a:solidFill>
              <a:latin typeface="Arial" panose="020B0604020202020204" pitchFamily="34" charset="0"/>
              <a:cs typeface="Arial" panose="020B0604020202020204" pitchFamily="34" charset="0"/>
            </a:rPr>
            <a:t>Mervärdesskatt: </a:t>
          </a:r>
          <a:r>
            <a:rPr lang="sv-fi" sz="1200" b="0">
              <a:solidFill>
                <a:schemeClr val="tx1"/>
              </a:solidFill>
              <a:latin typeface="Arial" panose="020B0604020202020204" pitchFamily="34" charset="0"/>
              <a:cs typeface="Arial" panose="020B0604020202020204" pitchFamily="34" charset="0"/>
            </a:rPr>
            <a:t>Mervärdesskatten beror i viss mån på de produkter eller tjänster som säljs.</a:t>
          </a:r>
        </a:p>
      </xdr:txBody>
    </xdr:sp>
    <xdr:clientData/>
  </xdr:twoCellAnchor>
  <xdr:twoCellAnchor>
    <xdr:from>
      <xdr:col>5</xdr:col>
      <xdr:colOff>0</xdr:colOff>
      <xdr:row>32</xdr:row>
      <xdr:rowOff>317500</xdr:rowOff>
    </xdr:from>
    <xdr:to>
      <xdr:col>11</xdr:col>
      <xdr:colOff>812800</xdr:colOff>
      <xdr:row>35</xdr:row>
      <xdr:rowOff>0</xdr:rowOff>
    </xdr:to>
    <xdr:sp macro="" textlink="">
      <xdr:nvSpPr>
        <xdr:cNvPr id="16" name="Round Single Corner of Rectangle 15">
          <a:extLst>
            <a:ext uri="{FF2B5EF4-FFF2-40B4-BE49-F238E27FC236}">
              <a16:creationId xmlns:a16="http://schemas.microsoft.com/office/drawing/2014/main" id="{12CC535B-80D8-AF4C-8376-F02677297A5A}"/>
            </a:ext>
            <a:ext uri="{C183D7F6-B498-43B3-948B-1728B52AA6E4}">
              <adec:decorative xmlns:adec="http://schemas.microsoft.com/office/drawing/2017/decorative" val="1"/>
            </a:ext>
          </a:extLst>
        </xdr:cNvPr>
        <xdr:cNvSpPr/>
      </xdr:nvSpPr>
      <xdr:spPr>
        <a:xfrm>
          <a:off x="11112500" y="9474200"/>
          <a:ext cx="5765800" cy="5588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rtl="0"/>
          <a:r>
            <a:rPr lang="sv-fi" sz="1200" b="1">
              <a:solidFill>
                <a:schemeClr val="tx1"/>
              </a:solidFill>
              <a:latin typeface="Arial" panose="020B0604020202020204" pitchFamily="34" charset="0"/>
              <a:cs typeface="Arial" panose="020B0604020202020204" pitchFamily="34" charset="0"/>
            </a:rPr>
            <a:t>Total försäljning/fakturering: </a:t>
          </a:r>
          <a:r>
            <a:rPr lang="sv-fi" sz="1200" b="0">
              <a:solidFill>
                <a:schemeClr val="tx1"/>
              </a:solidFill>
              <a:latin typeface="Arial" panose="020B0604020202020204" pitchFamily="34" charset="0"/>
              <a:cs typeface="Arial" panose="020B0604020202020204" pitchFamily="34" charset="0"/>
            </a:rPr>
            <a:t>Den totala försäljningen/faktureringen är summan av omsättningen och mervärdesskatten.</a:t>
          </a:r>
        </a:p>
      </xdr:txBody>
    </xdr:sp>
    <xdr:clientData/>
  </xdr:twoCellAnchor>
  <xdr:twoCellAnchor>
    <xdr:from>
      <xdr:col>5</xdr:col>
      <xdr:colOff>0</xdr:colOff>
      <xdr:row>35</xdr:row>
      <xdr:rowOff>76200</xdr:rowOff>
    </xdr:from>
    <xdr:to>
      <xdr:col>11</xdr:col>
      <xdr:colOff>812800</xdr:colOff>
      <xdr:row>37</xdr:row>
      <xdr:rowOff>495300</xdr:rowOff>
    </xdr:to>
    <xdr:sp macro="" textlink="">
      <xdr:nvSpPr>
        <xdr:cNvPr id="17" name="Round Single Corner of Rectangle 16">
          <a:extLst>
            <a:ext uri="{FF2B5EF4-FFF2-40B4-BE49-F238E27FC236}">
              <a16:creationId xmlns:a16="http://schemas.microsoft.com/office/drawing/2014/main" id="{8DD2E0DC-9DBE-274C-B5B4-1EE60681B6B7}"/>
            </a:ext>
            <a:ext uri="{C183D7F6-B498-43B3-948B-1728B52AA6E4}">
              <adec:decorative xmlns:adec="http://schemas.microsoft.com/office/drawing/2017/decorative" val="1"/>
            </a:ext>
          </a:extLst>
        </xdr:cNvPr>
        <xdr:cNvSpPr/>
      </xdr:nvSpPr>
      <xdr:spPr>
        <a:xfrm>
          <a:off x="11112500" y="11163300"/>
          <a:ext cx="5765800" cy="10541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rtl="0"/>
          <a:r>
            <a:rPr lang="sv-fi" sz="1200" b="1">
              <a:solidFill>
                <a:schemeClr val="tx1"/>
              </a:solidFill>
              <a:latin typeface="Arial" panose="020B0604020202020204" pitchFamily="34" charset="0"/>
              <a:cs typeface="Arial" panose="020B0604020202020204" pitchFamily="34" charset="0"/>
            </a:rPr>
            <a:t>Behov av försäljningstäckning (minimum): </a:t>
          </a:r>
          <a:r>
            <a:rPr lang="sv-fi" sz="1200" b="0">
              <a:solidFill>
                <a:schemeClr val="tx1"/>
              </a:solidFill>
              <a:latin typeface="Arial" panose="020B0604020202020204" pitchFamily="34" charset="0"/>
              <a:cs typeface="Arial" panose="020B0604020202020204" pitchFamily="34" charset="0"/>
            </a:rPr>
            <a:t>Med hjälp av detta kan du beräkna företagets behov av fakturering enligt månad, vecka och timme. Observera att företaget inte alltid kan fakturera för hela månader, dagar eller timmar. Bedöm för hur många dagar eller timmar ditt företag kan fakturera sina kunder i månaden.</a:t>
          </a:r>
        </a:p>
      </xdr:txBody>
    </xdr:sp>
    <xdr:clientData/>
  </xdr:twoCellAnchor>
  <xdr:twoCellAnchor>
    <xdr:from>
      <xdr:col>5</xdr:col>
      <xdr:colOff>330200</xdr:colOff>
      <xdr:row>41</xdr:row>
      <xdr:rowOff>292100</xdr:rowOff>
    </xdr:from>
    <xdr:to>
      <xdr:col>12</xdr:col>
      <xdr:colOff>317500</xdr:colOff>
      <xdr:row>43</xdr:row>
      <xdr:rowOff>114300</xdr:rowOff>
    </xdr:to>
    <xdr:sp macro="" textlink="">
      <xdr:nvSpPr>
        <xdr:cNvPr id="18" name="Round Single Corner of Rectangle 17">
          <a:extLst>
            <a:ext uri="{FF2B5EF4-FFF2-40B4-BE49-F238E27FC236}">
              <a16:creationId xmlns:a16="http://schemas.microsoft.com/office/drawing/2014/main" id="{DA65F5B2-543D-D54F-9F5F-310FF02D736C}"/>
            </a:ext>
            <a:ext uri="{C183D7F6-B498-43B3-948B-1728B52AA6E4}">
              <adec:decorative xmlns:adec="http://schemas.microsoft.com/office/drawing/2017/decorative" val="1"/>
            </a:ext>
          </a:extLst>
        </xdr:cNvPr>
        <xdr:cNvSpPr/>
      </xdr:nvSpPr>
      <xdr:spPr>
        <a:xfrm>
          <a:off x="11468100" y="13373100"/>
          <a:ext cx="5765800" cy="5842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rtl="0"/>
          <a:r>
            <a:rPr lang="sv-fi" sz="1200" b="1">
              <a:solidFill>
                <a:schemeClr val="tx1"/>
              </a:solidFill>
              <a:latin typeface="Arial" panose="020B0604020202020204" pitchFamily="34" charset="0"/>
              <a:cs typeface="Arial" panose="020B0604020202020204" pitchFamily="34" charset="0"/>
            </a:rPr>
            <a:t>Tillväxtprocent för tre år: </a:t>
          </a:r>
          <a:r>
            <a:rPr lang="sv-fi" sz="1200" b="0">
              <a:solidFill>
                <a:schemeClr val="tx1"/>
              </a:solidFill>
              <a:latin typeface="Arial" panose="020B0604020202020204" pitchFamily="34" charset="0"/>
              <a:cs typeface="Arial" panose="020B0604020202020204" pitchFamily="34" charset="0"/>
            </a:rPr>
            <a:t>Du kan ändra tillväxtprocentsiffrorna för inkomster och utgifter.</a:t>
          </a:r>
        </a:p>
      </xdr:txBody>
    </xdr:sp>
    <xdr:clientData/>
  </xdr:twoCellAnchor>
  <xdr:twoCellAnchor editAs="oneCell">
    <xdr:from>
      <xdr:col>0</xdr:col>
      <xdr:colOff>177800</xdr:colOff>
      <xdr:row>0</xdr:row>
      <xdr:rowOff>152400</xdr:rowOff>
    </xdr:from>
    <xdr:to>
      <xdr:col>0</xdr:col>
      <xdr:colOff>2247900</xdr:colOff>
      <xdr:row>0</xdr:row>
      <xdr:rowOff>520700</xdr:rowOff>
    </xdr:to>
    <xdr:pic>
      <xdr:nvPicPr>
        <xdr:cNvPr id="5" name="Picture 4">
          <a:extLst>
            <a:ext uri="{FF2B5EF4-FFF2-40B4-BE49-F238E27FC236}">
              <a16:creationId xmlns:a16="http://schemas.microsoft.com/office/drawing/2014/main" id="{D9D2B25B-6FD3-9046-B284-44AA7C35BC6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800" y="152400"/>
          <a:ext cx="2070100" cy="3683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177800</xdr:colOff>
      <xdr:row>20</xdr:row>
      <xdr:rowOff>25400</xdr:rowOff>
    </xdr:from>
    <xdr:to>
      <xdr:col>5</xdr:col>
      <xdr:colOff>660400</xdr:colOff>
      <xdr:row>22</xdr:row>
      <xdr:rowOff>279400</xdr:rowOff>
    </xdr:to>
    <xdr:sp macro="" textlink="">
      <xdr:nvSpPr>
        <xdr:cNvPr id="2" name="Rectangle 1">
          <a:extLst>
            <a:ext uri="{FF2B5EF4-FFF2-40B4-BE49-F238E27FC236}">
              <a16:creationId xmlns:a16="http://schemas.microsoft.com/office/drawing/2014/main" id="{AE66EA0E-3E6C-7044-AD0B-BCF74A95387A}"/>
            </a:ext>
            <a:ext uri="{C183D7F6-B498-43B3-948B-1728B52AA6E4}">
              <adec:decorative xmlns:adec="http://schemas.microsoft.com/office/drawing/2017/decorative" val="1"/>
            </a:ext>
          </a:extLst>
        </xdr:cNvPr>
        <xdr:cNvSpPr/>
      </xdr:nvSpPr>
      <xdr:spPr>
        <a:xfrm>
          <a:off x="8826500" y="7899400"/>
          <a:ext cx="3657600" cy="762000"/>
        </a:xfrm>
        <a:prstGeom prst="rect">
          <a:avLst/>
        </a:prstGeom>
        <a:solidFill>
          <a:srgbClr val="F1DB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rtl="0"/>
          <a:r>
            <a:rPr lang="sv-fi" sz="1200">
              <a:solidFill>
                <a:sysClr val="windowText" lastClr="000000"/>
              </a:solidFill>
              <a:latin typeface="Arial" panose="020B0604020202020204" pitchFamily="34" charset="0"/>
              <a:cs typeface="Arial" panose="020B0604020202020204" pitchFamily="34" charset="0"/>
            </a:rPr>
            <a:t>Behovet av försäljningstäckning per månad i lönsamhetskalkylen</a:t>
          </a:r>
          <a:r>
            <a:rPr lang="sv-fi" sz="1200" baseline="0">
              <a:solidFill>
                <a:sysClr val="windowText" lastClr="000000"/>
              </a:solidFill>
              <a:latin typeface="Arial" panose="020B0604020202020204" pitchFamily="34" charset="0"/>
              <a:cs typeface="Arial" panose="020B0604020202020204" pitchFamily="34" charset="0"/>
            </a:rPr>
            <a:t> har överförts automatiskt från fliken “</a:t>
          </a:r>
          <a:r>
            <a:rPr lang="sv-fi" sz="1200">
              <a:solidFill>
                <a:sysClr val="windowText" lastClr="000000"/>
              </a:solidFill>
              <a:latin typeface="Arial" panose="020B0604020202020204" pitchFamily="34" charset="0"/>
              <a:cs typeface="Arial" panose="020B0604020202020204" pitchFamily="34" charset="0"/>
            </a:rPr>
            <a:t>Lönsamhetskalkyl”.</a:t>
          </a:r>
        </a:p>
      </xdr:txBody>
    </xdr:sp>
    <xdr:clientData/>
  </xdr:twoCellAnchor>
  <xdr:twoCellAnchor editAs="oneCell">
    <xdr:from>
      <xdr:col>0</xdr:col>
      <xdr:colOff>177800</xdr:colOff>
      <xdr:row>0</xdr:row>
      <xdr:rowOff>152400</xdr:rowOff>
    </xdr:from>
    <xdr:to>
      <xdr:col>0</xdr:col>
      <xdr:colOff>2247900</xdr:colOff>
      <xdr:row>0</xdr:row>
      <xdr:rowOff>520700</xdr:rowOff>
    </xdr:to>
    <xdr:pic>
      <xdr:nvPicPr>
        <xdr:cNvPr id="3" name="Picture 2">
          <a:extLst>
            <a:ext uri="{FF2B5EF4-FFF2-40B4-BE49-F238E27FC236}">
              <a16:creationId xmlns:a16="http://schemas.microsoft.com/office/drawing/2014/main" id="{52C1FBBF-4303-5347-A273-6E7438ACD103}"/>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800" y="152400"/>
          <a:ext cx="2070100" cy="3683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177800</xdr:colOff>
      <xdr:row>0</xdr:row>
      <xdr:rowOff>152400</xdr:rowOff>
    </xdr:from>
    <xdr:to>
      <xdr:col>0</xdr:col>
      <xdr:colOff>2247900</xdr:colOff>
      <xdr:row>0</xdr:row>
      <xdr:rowOff>520700</xdr:rowOff>
    </xdr:to>
    <xdr:pic>
      <xdr:nvPicPr>
        <xdr:cNvPr id="2" name="Picture 1">
          <a:extLst>
            <a:ext uri="{FF2B5EF4-FFF2-40B4-BE49-F238E27FC236}">
              <a16:creationId xmlns:a16="http://schemas.microsoft.com/office/drawing/2014/main" id="{0B9C1C58-10F6-7047-9274-EF90A6D90DAE}"/>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800" y="152400"/>
          <a:ext cx="2070100" cy="3683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177800</xdr:colOff>
      <xdr:row>0</xdr:row>
      <xdr:rowOff>152400</xdr:rowOff>
    </xdr:from>
    <xdr:to>
      <xdr:col>0</xdr:col>
      <xdr:colOff>2247900</xdr:colOff>
      <xdr:row>0</xdr:row>
      <xdr:rowOff>520700</xdr:rowOff>
    </xdr:to>
    <xdr:pic>
      <xdr:nvPicPr>
        <xdr:cNvPr id="2" name="Picture 1">
          <a:extLst>
            <a:ext uri="{FF2B5EF4-FFF2-40B4-BE49-F238E27FC236}">
              <a16:creationId xmlns:a16="http://schemas.microsoft.com/office/drawing/2014/main" id="{D1D2AA7B-9669-0241-9936-AE1A04F3C198}"/>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800" y="152400"/>
          <a:ext cx="2070100" cy="3683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177800</xdr:colOff>
      <xdr:row>0</xdr:row>
      <xdr:rowOff>152400</xdr:rowOff>
    </xdr:from>
    <xdr:to>
      <xdr:col>0</xdr:col>
      <xdr:colOff>2247900</xdr:colOff>
      <xdr:row>0</xdr:row>
      <xdr:rowOff>520700</xdr:rowOff>
    </xdr:to>
    <xdr:pic>
      <xdr:nvPicPr>
        <xdr:cNvPr id="3" name="Picture 2">
          <a:extLst>
            <a:ext uri="{FF2B5EF4-FFF2-40B4-BE49-F238E27FC236}">
              <a16:creationId xmlns:a16="http://schemas.microsoft.com/office/drawing/2014/main" id="{EC7FAFC0-A90D-EC49-9239-088C0CF31DF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800" y="152400"/>
          <a:ext cx="2070100" cy="36830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736E754-A38F-4547-A970-79D1FFB195F7}" name="Behov_av_pengar_tabell" displayName="Behov_av_pengar_tabell" comment="Behov av pengar -tabell. Behov av medel innan du startar ett företag." ref="A10:C35" totalsRowCount="1" headerRowDxfId="807" dataDxfId="805" totalsRowDxfId="803" headerRowBorderDxfId="806" tableBorderDxfId="804" totalsRowBorderDxfId="802">
  <autoFilter ref="A10:C34" xr:uid="{9736E754-A38F-4547-A970-79D1FFB195F7}">
    <filterColumn colId="0" hiddenButton="1"/>
    <filterColumn colId="1" hiddenButton="1"/>
    <filterColumn colId="2" hiddenButton="1"/>
  </autoFilter>
  <tableColumns count="3">
    <tableColumn id="1" xr3:uid="{812A06A4-93F5-4045-8AE3-EBDA15A20200}" name="Behov av pengar (innan du inleder företagsverksamheten)" totalsRowLabel="Behovet av pengar totalt" dataDxfId="801" totalsRowDxfId="800"/>
    <tableColumn id="2" xr3:uid="{58E98FC8-08D5-AE43-96A1-C8B693055D9C}" name="€" totalsRowFunction="sum" dataDxfId="799" totalsRowDxfId="798"/>
    <tableColumn id="3" xr3:uid="{429071AF-1A89-CC48-8C41-7BB871E135A4}" name="Kommentar" dataDxfId="797" totalsRowDxfId="796"/>
  </tableColumns>
  <tableStyleInfo name="Helsinki_taulukko_tyyli" showFirstColumn="1" showLastColumn="0" showRowStripes="0" showColumnStripes="0"/>
  <extLst>
    <ext xmlns:x14="http://schemas.microsoft.com/office/spreadsheetml/2009/9/main" uri="{504A1905-F514-4f6f-8877-14C23A59335A}">
      <x14:table altTextSummary="Rahan tarve -taulukko"/>
    </ext>
  </extLst>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6A7E7F5C-0D8F-7A4F-BD55-98FB33A93A74}" name="Tre_års_tillväxtprocent_tabell" displayName="Tre_års_tillväxtprocent_tabell" comment="Lönsamhetskalkylens treåriga tillväxtprocent. Du kan bestämma dem själv." ref="A43:D45" totalsRowShown="0" headerRowDxfId="725" dataDxfId="723" headerRowBorderDxfId="724" tableBorderDxfId="722" totalsRowBorderDxfId="721">
  <autoFilter ref="A43:D45" xr:uid="{6A7E7F5C-0D8F-7A4F-BD55-98FB33A93A74}">
    <filterColumn colId="0" hiddenButton="1"/>
    <filterColumn colId="1" hiddenButton="1"/>
    <filterColumn colId="2" hiddenButton="1"/>
    <filterColumn colId="3" hiddenButton="1"/>
  </autoFilter>
  <tableColumns count="4">
    <tableColumn id="1" xr3:uid="{C46AE03F-A410-DA47-88A4-20C8C731CC05}" name="Tillväxtprocent för tre år" dataDxfId="720"/>
    <tableColumn id="5" xr3:uid="{6AFD461D-8B20-1245-A74B-B217E52ADE79}" name="år 1" dataDxfId="719"/>
    <tableColumn id="2" xr3:uid="{7CBCA5E5-1C71-2544-9312-1ADE9DDF1023}" name="år 2" dataDxfId="718"/>
    <tableColumn id="3" xr3:uid="{13195A37-2535-7848-AA1F-2A4B7E4E75A1}" name="år 3" dataDxfId="717"/>
  </tableColumns>
  <tableStyleInfo name="Helsinki_taulukko_tyyli" showFirstColumn="1" showLastColumn="0" showRowStripes="0" showColumnStripes="0"/>
  <extLst>
    <ext xmlns:x14="http://schemas.microsoft.com/office/spreadsheetml/2009/9/main" uri="{504A1905-F514-4f6f-8877-14C23A59335A}">
      <x14:table altTextSummary="Kolmen vuoden kasvuprosentti -taulukko"/>
    </ext>
  </extLst>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A85F8EE9-F393-1249-A7AA-E046F065DBF7}" name="Instruktioner_för_lönsamhetskalkyl_tabell" displayName="Instruktioner_för_lönsamhetskalkyl_tabell" comment="Mer detaljerade instruktioner för hur man fyller vissa celler på fliken för lönsamhetskalkyl." ref="A62:A72" totalsRowShown="0" headerRowDxfId="716" dataDxfId="714" headerRowBorderDxfId="715" tableBorderDxfId="713" totalsRowBorderDxfId="712">
  <autoFilter ref="A62:A72" xr:uid="{A85F8EE9-F393-1249-A7AA-E046F065DBF7}">
    <filterColumn colId="0" hiddenButton="1"/>
  </autoFilter>
  <tableColumns count="1">
    <tableColumn id="1" xr3:uid="{60962BD2-DBE3-4E4F-8F29-95C520B7DC62}" name="Anvisningar för lönsamhetskalkylen:" dataDxfId="711"/>
  </tableColumns>
  <tableStyleInfo name="Helsinki_taulukko_tyyli" showFirstColumn="0" showLastColumn="0" showRowStripes="0" showColumnStripes="0"/>
  <extLst>
    <ext xmlns:x14="http://schemas.microsoft.com/office/spreadsheetml/2009/9/main" uri="{504A1905-F514-4f6f-8877-14C23A59335A}">
      <x14:table altTextSummary="Ohjeet kannattavuuslaskelmaan"/>
    </ext>
  </extLst>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F7FCEA27-617E-D744-8E46-9D2D9D2302EE}" name="Produkter_sålda_tabell" displayName="Produkter_sålda_tabell" comment="Den månatliga försäljningen per kund av sex produkter/produktgrupper till sex kunder/kundgrupper." ref="A7:N17" headerRowDxfId="710" dataDxfId="708" totalsRowDxfId="706" headerRowBorderDxfId="709" tableBorderDxfId="707" totalsRowBorderDxfId="705">
  <autoFilter ref="A7:N17" xr:uid="{F7FCEA27-617E-D744-8E46-9D2D9D2302E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35B406D4-272F-234A-8F49-303935145124}" name="Sålda produkter/tjänster per kund _x000a_(namnge kunden/kundgruppen)" totalsRowLabel="Myydyt tuotteet yhteensä" dataDxfId="704" totalsRowDxfId="703"/>
    <tableColumn id="2" xr3:uid="{BC7F1891-5A34-F341-8E32-8D63F2334BAB}" name="Antal 1" dataDxfId="702">
      <calculatedColumnFormula>SUM(B4:B7)</calculatedColumnFormula>
    </tableColumn>
    <tableColumn id="8" xr3:uid="{7C5B4822-33BF-A64B-8138-2D4DAB8F719A}" name="Täckning _x000a_totalt 1" dataDxfId="701">
      <calculatedColumnFormula>B8*C$6</calculatedColumnFormula>
    </tableColumn>
    <tableColumn id="3" xr3:uid="{59D0E1AD-F0B1-714D-8BEB-65022EC6BAC2}" name="Antal 2" dataDxfId="700">
      <calculatedColumnFormula>SUM(Produkter_sålda_tabell[Antal 2])</calculatedColumnFormula>
    </tableColumn>
    <tableColumn id="9" xr3:uid="{7CD2FCD3-F35B-9648-BA83-9546A3D5BF5E}" name="Täckning _x000a_totalt 2" dataDxfId="699"/>
    <tableColumn id="4" xr3:uid="{B74DA014-4FB5-8F4B-85DE-62EE8B15C86E}" name="Antal 3" dataDxfId="698">
      <calculatedColumnFormula>SUM(Produkter_sålda_tabell[Antal 3])</calculatedColumnFormula>
    </tableColumn>
    <tableColumn id="10" xr3:uid="{A70A18C7-E8F6-0245-B3EC-05FB62A16771}" name="Täckning _x000a_totalt 3" dataDxfId="697"/>
    <tableColumn id="5" xr3:uid="{F17E063E-554C-9840-8AC6-4EF46295BD45}" name="Antal 4" dataDxfId="696"/>
    <tableColumn id="11" xr3:uid="{DBF6C914-6949-B44A-AA56-E053F8B1C0E9}" name="Täckning _x000a_totalt 4" dataDxfId="695" totalsRowDxfId="694">
      <calculatedColumnFormula>H8*I$6</calculatedColumnFormula>
    </tableColumn>
    <tableColumn id="6" xr3:uid="{BA819F3E-6F9F-C444-A763-92419B95C28A}" name="Antal 5" dataDxfId="693" totalsRowDxfId="692">
      <calculatedColumnFormula>SUM(Produkter_sålda_tabell[Antal 5])</calculatedColumnFormula>
    </tableColumn>
    <tableColumn id="12" xr3:uid="{0585EBDC-1E44-9446-89CE-EF6E36D2FF17}" name="Täckning _x000a_totalt 5" dataDxfId="691" totalsRowDxfId="690">
      <calculatedColumnFormula>J8*K$6</calculatedColumnFormula>
    </tableColumn>
    <tableColumn id="7" xr3:uid="{47149505-FB6C-5E40-AA1B-BBF54C492C07}" name="Antal 6" dataDxfId="689">
      <calculatedColumnFormula>SUM(Produkter_sålda_tabell[Antal 6])</calculatedColumnFormula>
    </tableColumn>
    <tableColumn id="13" xr3:uid="{204586BF-E19B-B94D-A42D-79BE727D6B95}" name="Täckning _x000a_totalt 6" dataDxfId="688">
      <calculatedColumnFormula>L8*M$6</calculatedColumnFormula>
    </tableColumn>
    <tableColumn id="14" xr3:uid="{276D0C6E-529B-7A4F-A344-2B61B55BE24E}" name="Alla produkter" dataDxfId="687">
      <calculatedColumnFormula>SUM(Produkter_sålda_tabell[[#This Row],[Täckning 
totalt 1]],Produkter_sålda_tabell[[#This Row],[Täckning 
totalt 2]],Produkter_sålda_tabell[[#This Row],[Täckning 
totalt 3]],Produkter_sålda_tabell[[#This Row],[Täckning 
totalt 4]],Produkter_sålda_tabell[[#This Row],[Täckning 
totalt 5]],Produkter_sålda_tabell[[#This Row],[Täckning 
totalt 6]])</calculatedColumnFormula>
    </tableColumn>
  </tableColumns>
  <tableStyleInfo name="Helsinki_taulukko_tyyli" showFirstColumn="1" showLastColumn="0" showRowStripes="0" showColumnStripes="0"/>
  <extLst>
    <ext xmlns:x14="http://schemas.microsoft.com/office/spreadsheetml/2009/9/main" uri="{504A1905-F514-4f6f-8877-14C23A59335A}">
      <x14:table altTextSummary="Tuotteiden myyntimäärä -taulukko"/>
    </ext>
  </extLst>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71B9F4B2-7E37-AF45-B4B3-B29718495E5E}" name="Sammandrag_av_försäljnings_tabell" displayName="Sammandrag_av_försäljnings_tabell" comment="Den månatliga och årliga sammanställningen av försäljningen av sex produkter/produktgrupper." ref="A18:C24" headerRowDxfId="686" dataDxfId="684" totalsRowDxfId="682" headerRowBorderDxfId="685" tableBorderDxfId="683" totalsRowBorderDxfId="681">
  <autoFilter ref="A18:C24" xr:uid="{71B9F4B2-7E37-AF45-B4B3-B29718495E5E}">
    <filterColumn colId="0" hiddenButton="1"/>
    <filterColumn colId="1" hiddenButton="1"/>
    <filterColumn colId="2" hiddenButton="1"/>
  </autoFilter>
  <tableColumns count="3">
    <tableColumn id="1" xr3:uid="{2163E343-AF68-C042-A3BA-9A11C81C8C31}" name="Sammandrag av försäljningen" totalsRowLabel="Total" dataDxfId="680" totalsRowDxfId="679"/>
    <tableColumn id="2" xr3:uid="{C944D976-2844-5D4B-A301-B54EEB3BE462}" name="I månaden" dataDxfId="678"/>
    <tableColumn id="3" xr3:uid="{139A0563-A34B-7843-824F-A538B8D44B88}" name="I året" totalsRowFunction="count" dataDxfId="677"/>
  </tableColumns>
  <tableStyleInfo name="Helsinki_taulukko_tyyli" showFirstColumn="1" showLastColumn="0" showRowStripes="0" showColumnStripes="0"/>
  <extLst>
    <ext xmlns:x14="http://schemas.microsoft.com/office/spreadsheetml/2009/9/main" uri="{504A1905-F514-4f6f-8877-14C23A59335A}">
      <x14:table altTextSummary="Myynnin yhteenveto -taulukko"/>
    </ext>
  </extLst>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5E3A27FA-CB6C-1A45-8D6C-1754DDF3AF93}" name="Produktpris_tabell" displayName="Produktpris_tabell" comment="Priser, kostnader och marginaler (utan moms) för sex produkter/produktgrupper per månad." ref="A4:M6" totalsRowShown="0" headerRowDxfId="676" dataDxfId="675" tableBorderDxfId="674">
  <autoFilter ref="A4:M6" xr:uid="{5E3A27FA-CB6C-1A45-8D6C-1754DDF3AF9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4771AA42-F52D-0B4E-BDAF-0E66174BEE76}" name="Priser på produkter/produktgrupper, _x000a_€/mån. utan mervärdesskatt" dataDxfId="673"/>
    <tableColumn id="2" xr3:uid="{A17F6616-B04D-0C48-88EB-0F89541113B7}" name="Skattefri _x000a_pris 1" dataDxfId="672">
      <calculatedColumnFormula>B4-C4</calculatedColumnFormula>
    </tableColumn>
    <tableColumn id="3" xr3:uid="{84568620-51BB-C649-B9FD-B7A36DC47D91}" name="Kostnader 1" dataDxfId="671">
      <calculatedColumnFormula>B4-C4</calculatedColumnFormula>
    </tableColumn>
    <tableColumn id="4" xr3:uid="{C98832E2-17B3-5D40-BC93-CF3F4B06B060}" name="Skattefri _x000a_pris 2" dataDxfId="670"/>
    <tableColumn id="5" xr3:uid="{DCC14671-D1EF-5F4C-A812-45F5BD2B2AD6}" name="Kostnader 2" dataDxfId="669">
      <calculatedColumnFormula>D4-E4</calculatedColumnFormula>
    </tableColumn>
    <tableColumn id="6" xr3:uid="{0DDB1206-FB04-1741-A76E-4BCE548FC752}" name="Skattefri _x000a_pris 3" dataDxfId="668"/>
    <tableColumn id="7" xr3:uid="{B60F6E70-2BDC-0D40-B00A-ACD01C38943A}" name="Kostnader 3" dataDxfId="667">
      <calculatedColumnFormula>F4-G4</calculatedColumnFormula>
    </tableColumn>
    <tableColumn id="8" xr3:uid="{D19D1F2F-9E32-DC40-B285-8D2DFAAE197D}" name="Skattefri _x000a_pris 4" dataDxfId="666"/>
    <tableColumn id="9" xr3:uid="{75292075-4172-0041-A8FF-6CDF3166E574}" name="Kostnader 4" dataDxfId="665">
      <calculatedColumnFormula>H4-I4</calculatedColumnFormula>
    </tableColumn>
    <tableColumn id="10" xr3:uid="{4A0152DB-AE38-9D49-80F5-54AD88E23F88}" name="Skattefri _x000a_pris 5" dataDxfId="664"/>
    <tableColumn id="11" xr3:uid="{FAFD83E7-39C5-D845-80CE-2EC317284A65}" name="Kostnader 5" dataDxfId="663">
      <calculatedColumnFormula>J4-K4</calculatedColumnFormula>
    </tableColumn>
    <tableColumn id="12" xr3:uid="{846257EE-BDD2-0A4D-8CFE-DEFF0565E522}" name="Skattefri _x000a_pris 6" dataDxfId="662"/>
    <tableColumn id="13" xr3:uid="{9E7ECD87-33B9-0643-AA5C-BC17461B84B8}" name="Kostnader 6" dataDxfId="661">
      <calculatedColumnFormula>L4-M4</calculatedColumnFormula>
    </tableColumn>
  </tableColumns>
  <tableStyleInfo name="Helsinki_taulukko_tyyli" showFirstColumn="0" showLastColumn="0" showRowStripes="0"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60A1218-0546-5B4B-AC2C-2B93DEACA6BC}" name="Betalning_till_kassa_tabell_1" displayName="Betalning_till_kassa_tabell_1" comment="Kassakvitton för varje period under det första året." ref="A10:O15" headerRowDxfId="660" dataDxfId="658" totalsRowDxfId="656" headerRowBorderDxfId="659" tableBorderDxfId="657" totalsRowBorderDxfId="655">
  <autoFilter ref="A10:O15" xr:uid="{E60A1218-0546-5B4B-AC2C-2B93DEACA6B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0CEE2843-0A04-4A48-8A95-682329E3F0D4}" name="Betalning till kassa, det vill säga intäkter" totalsRowLabel="Yhteensä" dataDxfId="654" totalsRowDxfId="653"/>
    <tableColumn id="2" xr3:uid="{0C3E6E12-490D-984D-B780-3C39CAC6CD6C}" name="Uppskattning" totalsRowFunction="sum" dataDxfId="652" totalsRowDxfId="651">
      <calculatedColumnFormula>SUM(B8:B10)</calculatedColumnFormula>
    </tableColumn>
    <tableColumn id="3" xr3:uid="{4BAF0E79-25A0-9A4F-8346-5C78EC539E6D}" name="Period 1" totalsRowFunction="sum" dataDxfId="650" totalsRowDxfId="649"/>
    <tableColumn id="4" xr3:uid="{DD3D7539-7E68-A64E-85A0-A6CBD0F2690B}" name="Period 2" totalsRowFunction="sum" dataDxfId="648" totalsRowDxfId="647"/>
    <tableColumn id="5" xr3:uid="{155A3FCA-B998-EE4B-8E3E-40ADA98AD13F}" name="Period 3" totalsRowFunction="sum" dataDxfId="646" totalsRowDxfId="645"/>
    <tableColumn id="6" xr3:uid="{611A7554-8DB1-D54A-94C4-74E580DEA7CA}" name="Period 4" totalsRowFunction="sum" dataDxfId="644" totalsRowDxfId="643"/>
    <tableColumn id="7" xr3:uid="{340F6D36-24EC-7647-B7AB-EDD066AF2E24}" name="Period 5" totalsRowFunction="sum" dataDxfId="642" totalsRowDxfId="641"/>
    <tableColumn id="8" xr3:uid="{3D357208-6DDB-1E48-B1B5-2A829E98B009}" name="Period 6" totalsRowFunction="sum" dataDxfId="640" totalsRowDxfId="639"/>
    <tableColumn id="9" xr3:uid="{756AA6AA-59A7-2348-BB0C-D989C97A9912}" name="Period 7" totalsRowFunction="sum" dataDxfId="638" totalsRowDxfId="637"/>
    <tableColumn id="10" xr3:uid="{B5B911E9-4600-3646-8937-81842DF0F015}" name="Period 8" totalsRowFunction="sum" dataDxfId="636" totalsRowDxfId="635"/>
    <tableColumn id="11" xr3:uid="{866C7ED1-7291-E44D-B0E4-BE316FFB25F2}" name="Period 9" totalsRowFunction="sum" dataDxfId="634" totalsRowDxfId="633"/>
    <tableColumn id="12" xr3:uid="{D5DAD8DE-88D2-9D4D-A4C8-1783414FA538}" name="Period 10" totalsRowFunction="sum" dataDxfId="632" totalsRowDxfId="631"/>
    <tableColumn id="13" xr3:uid="{4109E121-4E80-F840-B67E-6120DC701FAE}" name="Period 11" totalsRowFunction="sum" dataDxfId="630" totalsRowDxfId="629"/>
    <tableColumn id="14" xr3:uid="{EE685BBD-B5FB-994B-A9A2-ED92FF228911}" name="Period 12" totalsRowFunction="sum" dataDxfId="628" totalsRowDxfId="627"/>
    <tableColumn id="15" xr3:uid="{0A85D873-D275-2C47-AA6F-C0D8E10F8372}" name="Totalt" totalsRowFunction="sum" dataDxfId="626">
      <calculatedColumnFormula>SUM(Betalning_till_kassa_tabell_1[[#This Row],[Uppskattning]:[Period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kassaanmaksu -taulukko"/>
    </ext>
  </extLst>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9711FDB-A19A-7741-A748-BA2445773EAB}" name="Betalning_ur_kassa_tabell_1" displayName="Betalning_ur_kassa_tabell_1" comment="Kontantbetalningarna (moms 0%) för varje period under det första året." ref="A22:O32" totalsRowCount="1" headerRowDxfId="625" dataDxfId="623" totalsRowDxfId="621" headerRowBorderDxfId="624" tableBorderDxfId="622" totalsRowBorderDxfId="620">
  <autoFilter ref="A22:O31" xr:uid="{D9711FDB-A19A-7741-A748-BA2445773EA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522B3C23-86C5-3947-8296-0D3E8CD31505}" name="Betalning ur kassa (moms 0 %)" totalsRowLabel="Betalning ur kassa totalt" dataDxfId="619" totalsRowDxfId="618"/>
    <tableColumn id="2" xr3:uid="{634CEB58-DDCF-BF49-B1A9-D6AD4DA7F8B6}" name="Uppskattning" totalsRowFunction="custom" dataDxfId="617" totalsRowDxfId="616">
      <totalsRowFormula>SUM(Betalning_ur_kassa_tabell_1[Uppskattning],B19)</totalsRowFormula>
    </tableColumn>
    <tableColumn id="3" xr3:uid="{4FEA20C7-9C2D-6545-9351-44D02A0FBB33}" name="Period 1" totalsRowFunction="custom" dataDxfId="615" totalsRowDxfId="614">
      <totalsRowFormula>SUM(Betalning_ur_kassa_tabell_1[Period 1],C19)</totalsRowFormula>
    </tableColumn>
    <tableColumn id="4" xr3:uid="{5749097C-4533-D541-BC47-E0E54ADD6871}" name="Period 2" totalsRowFunction="custom" dataDxfId="613" totalsRowDxfId="612">
      <totalsRowFormula>SUM(Betalning_ur_kassa_tabell_1[Period 2],D19,D21)</totalsRowFormula>
    </tableColumn>
    <tableColumn id="5" xr3:uid="{6E385925-E9FF-DE4B-891C-3C6D2EBDF530}" name="Period 3" totalsRowFunction="custom" dataDxfId="611" totalsRowDxfId="610">
      <totalsRowFormula>SUM(Betalning_ur_kassa_tabell_1[Period 3],E19,E21)</totalsRowFormula>
    </tableColumn>
    <tableColumn id="6" xr3:uid="{1E5046EF-B576-4443-8C14-0EB15B7B8C34}" name="Period 4" totalsRowFunction="custom" dataDxfId="609" totalsRowDxfId="608">
      <totalsRowFormula>SUM(Betalning_ur_kassa_tabell_1[Period 4],F19,F21)</totalsRowFormula>
    </tableColumn>
    <tableColumn id="7" xr3:uid="{9587C80D-15F3-4146-8A6E-AEC9054A891C}" name="Period 5" totalsRowFunction="custom" dataDxfId="607" totalsRowDxfId="606">
      <totalsRowFormula>SUM(Betalning_ur_kassa_tabell_1[Period 5],G19,G21)</totalsRowFormula>
    </tableColumn>
    <tableColumn id="8" xr3:uid="{4EA2B955-461B-7145-8D26-94AABEC2B2DA}" name="Period 6" totalsRowFunction="custom" dataDxfId="605" totalsRowDxfId="604">
      <totalsRowFormula>SUM(Betalning_ur_kassa_tabell_1[Period 6],H19,H21)</totalsRowFormula>
    </tableColumn>
    <tableColumn id="9" xr3:uid="{546E420A-B49F-DD44-9948-A99C8CBD21E1}" name="Period 7" totalsRowFunction="custom" dataDxfId="603" totalsRowDxfId="602">
      <totalsRowFormula>SUM(Betalning_ur_kassa_tabell_1[Period 7],I19,I21)</totalsRowFormula>
    </tableColumn>
    <tableColumn id="10" xr3:uid="{C983847E-C103-5341-81F2-F55D85B7A369}" name="Period 8" totalsRowFunction="custom" dataDxfId="601" totalsRowDxfId="600">
      <totalsRowFormula>SUM(Betalning_ur_kassa_tabell_1[Period 8],J19,J21)</totalsRowFormula>
    </tableColumn>
    <tableColumn id="11" xr3:uid="{5981EC1A-BFFE-A74B-B45E-5AF13B726CBB}" name="Period 9" totalsRowFunction="custom" dataDxfId="599" totalsRowDxfId="598">
      <totalsRowFormula>SUM(Betalning_ur_kassa_tabell_1[Period 9],K19,K21)</totalsRowFormula>
    </tableColumn>
    <tableColumn id="12" xr3:uid="{0053C6F7-4D25-A74D-A68A-78B7AC476CFB}" name="Period 10" totalsRowFunction="custom" dataDxfId="597" totalsRowDxfId="596">
      <totalsRowFormula>SUM(Betalning_ur_kassa_tabell_1[Period 10],L19,L21)</totalsRowFormula>
    </tableColumn>
    <tableColumn id="13" xr3:uid="{8159FAE5-52B7-A648-A848-A963D4C78DE2}" name="Period 11" totalsRowFunction="custom" dataDxfId="595" totalsRowDxfId="594">
      <totalsRowFormula>SUM(Betalning_ur_kassa_tabell_1[Period 11],M19,M21)</totalsRowFormula>
    </tableColumn>
    <tableColumn id="14" xr3:uid="{E53B5370-4DD8-A147-AD0F-463F60C7E1C4}" name="Period 12" totalsRowFunction="custom" dataDxfId="593" totalsRowDxfId="592">
      <totalsRowFormula>SUM(Betalning_ur_kassa_tabell_1[Period 12],N19,N21)</totalsRowFormula>
    </tableColumn>
    <tableColumn id="15" xr3:uid="{AFD5CF23-4E68-E146-85E3-4A2AC8161FA1}" name="Totalt" totalsRowFunction="custom" dataDxfId="591" totalsRowDxfId="590">
      <calculatedColumnFormula>SUM(Betalning_ur_kassa_tabell_1[[#This Row],[Uppskattning]:[Period 12]])</calculatedColumnFormula>
      <totalsRowFormula>SUM(Betalning_ur_kassa_tabell_1[[#Totals],[Uppskattning]:[Period 12]])</totalsRow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kassastamaksu -taulukko"/>
    </ext>
  </extLst>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859B1C7-FD8F-A44C-B13C-88F30BFD3BAE}" name="Startkassa_tabell_1" displayName="Startkassa_tabell_1" comment="Kassakvitton för varje period under det första året." ref="A8:O9" headerRowDxfId="589" dataDxfId="587" totalsRowDxfId="585" headerRowBorderDxfId="588" tableBorderDxfId="586" totalsRowBorderDxfId="584">
  <autoFilter ref="A8:O9" xr:uid="{E859B1C7-FD8F-A44C-B13C-88F30BFD3BA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D06AEBC0-D343-2441-A585-7EBE7E4F4D43}" name="Startkassa, det vill säga likvida medel i början av perioden" totalsRowLabel="Total" dataDxfId="583"/>
    <tableColumn id="2" xr3:uid="{76C39746-1B35-0849-AD8E-37165ABD9082}" name="Uppskattning" dataDxfId="582"/>
    <tableColumn id="3" xr3:uid="{C210AD37-9AF0-1E47-AE0F-70F455A1350A}" name="Period 1" dataDxfId="581">
      <calculatedColumnFormula>B42</calculatedColumnFormula>
    </tableColumn>
    <tableColumn id="4" xr3:uid="{E5967332-3CCD-4849-B3D9-9CB621F398C5}" name="Period 2" dataDxfId="580">
      <calculatedColumnFormula>C42</calculatedColumnFormula>
    </tableColumn>
    <tableColumn id="5" xr3:uid="{970242AC-A007-4043-A0B4-5743872FFF36}" name="Period 3" dataDxfId="579">
      <calculatedColumnFormula>D42</calculatedColumnFormula>
    </tableColumn>
    <tableColumn id="6" xr3:uid="{4FA31700-4D64-784D-BD57-7E2DD2EC13D5}" name="Period 4" dataDxfId="578">
      <calculatedColumnFormula>E42</calculatedColumnFormula>
    </tableColumn>
    <tableColumn id="7" xr3:uid="{45521E9E-CAE3-B54A-A632-AB716BECC480}" name="Period 5" dataDxfId="577">
      <calculatedColumnFormula>F42</calculatedColumnFormula>
    </tableColumn>
    <tableColumn id="8" xr3:uid="{CF15E253-2ED1-4B47-A234-1AC6A8C65586}" name="Period 6" dataDxfId="576">
      <calculatedColumnFormula>G42</calculatedColumnFormula>
    </tableColumn>
    <tableColumn id="9" xr3:uid="{841657B8-670A-E740-93FB-F38AC1CBD79F}" name="Period 7" dataDxfId="575">
      <calculatedColumnFormula>H42</calculatedColumnFormula>
    </tableColumn>
    <tableColumn id="10" xr3:uid="{8D06C9DD-672F-E543-99CC-0397A357F5FD}" name="Period 8" dataDxfId="574">
      <calculatedColumnFormula>I42</calculatedColumnFormula>
    </tableColumn>
    <tableColumn id="11" xr3:uid="{CC06866C-BA61-EB44-84E1-001AE9208EFC}" name="Period 9" dataDxfId="573">
      <calculatedColumnFormula>J42</calculatedColumnFormula>
    </tableColumn>
    <tableColumn id="12" xr3:uid="{E1542018-23B4-564F-B901-259D595F9ABC}" name="Period 10" dataDxfId="572">
      <calculatedColumnFormula>K42</calculatedColumnFormula>
    </tableColumn>
    <tableColumn id="13" xr3:uid="{98B5935B-CEE3-1549-984E-B492A403DF95}" name="Period 11" dataDxfId="571">
      <calculatedColumnFormula>L42</calculatedColumnFormula>
    </tableColumn>
    <tableColumn id="14" xr3:uid="{11E288B0-7363-D946-B7DA-25BE56CE0ABC}" name="Period 12" dataDxfId="570">
      <calculatedColumnFormula>M42</calculatedColumnFormula>
    </tableColumn>
    <tableColumn id="15" xr3:uid="{2CF25CBD-FDFF-BE4B-995C-EA8B4CE5B554}" name="Totalt" totalsRowFunction="sum" dataDxfId="569"/>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taulukko"/>
    </ext>
  </extLst>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A23FAC7-F6C9-C84C-96AE-3DE9DA5CF41C}" name="Startkassa_och_intäkter_tabell_1" displayName="Startkassa_och_intäkter_tabell_1" comment="Ingående balans och intäkter för varje period under det första året." ref="A16:O17" headerRowDxfId="568" dataDxfId="566" totalsRowDxfId="564" headerRowBorderDxfId="567" tableBorderDxfId="565" totalsRowBorderDxfId="563">
  <autoFilter ref="A16:O17" xr:uid="{CA23FAC7-F6C9-C84C-96AE-3DE9DA5CF41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FF944D49-E699-D542-B3B6-230371D76A11}" name="Startkassa och intäkter" totalsRowLabel="Total" dataDxfId="562" totalsRowDxfId="561"/>
    <tableColumn id="2" xr3:uid="{239E875B-0C69-1C44-A062-7FF29E1F6CB3}" name="Uppskattning" dataDxfId="560" totalsRowDxfId="559">
      <calculatedColumnFormula>SUM(Startkassa_tabell_1[Uppskattning],B15)</calculatedColumnFormula>
    </tableColumn>
    <tableColumn id="3" xr3:uid="{C98BB46D-01B8-344F-96C6-7C3915A6CC58}" name="Period 1" dataDxfId="558" totalsRowDxfId="557">
      <calculatedColumnFormula>SUM(Startkassa_tabell_1[Period 1],C15)</calculatedColumnFormula>
    </tableColumn>
    <tableColumn id="4" xr3:uid="{DDE9728F-41AA-EA41-8EE4-E04B54E11418}" name="Period 2" dataDxfId="556" totalsRowDxfId="555">
      <calculatedColumnFormula>SUM(Startkassa_tabell_1[Period 2],D15)</calculatedColumnFormula>
    </tableColumn>
    <tableColumn id="5" xr3:uid="{7D66D97F-0765-0347-9F4C-78C24C56DA44}" name="Period 3" dataDxfId="554" totalsRowDxfId="553">
      <calculatedColumnFormula>SUM(Startkassa_tabell_1[Period 3],E15)</calculatedColumnFormula>
    </tableColumn>
    <tableColumn id="6" xr3:uid="{CF7C6774-BC91-AB47-AF80-5172F2139E7D}" name="Period 4" dataDxfId="552" totalsRowDxfId="551">
      <calculatedColumnFormula>SUM(Startkassa_tabell_1[Period 4],F15)</calculatedColumnFormula>
    </tableColumn>
    <tableColumn id="7" xr3:uid="{A32EC06F-840D-E24A-8F07-F79D4A487160}" name="Period 5" dataDxfId="550" totalsRowDxfId="549">
      <calculatedColumnFormula>SUM(Startkassa_tabell_1[Period 5],G15)</calculatedColumnFormula>
    </tableColumn>
    <tableColumn id="8" xr3:uid="{D44B4EE8-4BDC-3349-B560-113991FA82FF}" name="Period 6" dataDxfId="548" totalsRowDxfId="547">
      <calculatedColumnFormula>SUM(Startkassa_tabell_1[Period 6],H15)</calculatedColumnFormula>
    </tableColumn>
    <tableColumn id="9" xr3:uid="{C49BA971-C6CB-4D4A-A882-E7EF59BDA5C8}" name="Period 7" dataDxfId="546" totalsRowDxfId="545">
      <calculatedColumnFormula>SUM(Startkassa_tabell_1[Period 7],I15)</calculatedColumnFormula>
    </tableColumn>
    <tableColumn id="10" xr3:uid="{06990DB2-3DD6-0945-8DB8-53E1FF05D731}" name="Period 8" dataDxfId="544" totalsRowDxfId="543">
      <calculatedColumnFormula>SUM(Startkassa_tabell_1[Period 8],J15)</calculatedColumnFormula>
    </tableColumn>
    <tableColumn id="11" xr3:uid="{C40EF2B1-A96D-6749-A700-352F472D1595}" name="Period 9" dataDxfId="542" totalsRowDxfId="541">
      <calculatedColumnFormula>SUM(Startkassa_tabell_1[Period 9],K15)</calculatedColumnFormula>
    </tableColumn>
    <tableColumn id="12" xr3:uid="{4587C0BB-226F-D849-9DBA-8E3FE7620F57}" name="Period 10" dataDxfId="540" totalsRowDxfId="539">
      <calculatedColumnFormula>SUM(Startkassa_tabell_1[Period 10],L15)</calculatedColumnFormula>
    </tableColumn>
    <tableColumn id="13" xr3:uid="{84FC0671-A928-B74D-8E9C-E6FBCDC60C70}" name="Period 11" dataDxfId="538" totalsRowDxfId="537">
      <calculatedColumnFormula>SUM(Startkassa_tabell_1[Period 11],M15)</calculatedColumnFormula>
    </tableColumn>
    <tableColumn id="14" xr3:uid="{568DB183-999A-E44A-8285-6A85784D8E4B}" name="Period 12" dataDxfId="536" totalsRowDxfId="535">
      <calculatedColumnFormula>SUM(Startkassa_tabell_1[Period 12],N15)</calculatedColumnFormula>
    </tableColumn>
    <tableColumn id="15" xr3:uid="{672F0DBD-65AE-454C-9DD3-94B65F677E4D}" name="Totalt" totalsRowFunction="sum" dataDxfId="534" totalsRowDxfId="533"/>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ja tulot -taulukko"/>
    </ext>
  </extLst>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7E86B2D-0B2E-D645-BA90-973ABE71AAEC}" name="Betalningsberedskap_tabell_1" displayName="Betalningsberedskap_tabell_1" comment="Summan av ingående balans, intäkter och finansiering för varje period av det första året." ref="A41:O43" totalsRowShown="0" headerRowDxfId="532" dataDxfId="530" headerRowBorderDxfId="531" tableBorderDxfId="529" totalsRowBorderDxfId="528">
  <autoFilter ref="A41:O43" xr:uid="{C7E86B2D-0B2E-D645-BA90-973ABE71AAE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727C1C92-1861-614C-A059-E1ED6F3DDDD5}" name="Betalningsberedskap (i slutet av månaden)" dataDxfId="527"/>
    <tableColumn id="2" xr3:uid="{D10DD023-E078-0A48-BCEA-5ADD7F5709A7}" name="Uppskattning" dataDxfId="526">
      <calculatedColumnFormula>SUM(Startkassa_och_intäkter_tabell_1[Uppskattning],-Betalning_ur_kassa_tabell_1[[#Totals],[Uppskattning]],Finansierings_tabell_1[[#Totals],[Uppskattning]])</calculatedColumnFormula>
    </tableColumn>
    <tableColumn id="3" xr3:uid="{097ACB1C-8B97-F649-8F56-A982952CFBDC}" name="Period 1" dataDxfId="525">
      <calculatedColumnFormula>SUM(Startkassa_och_intäkter_tabell_1[Period 1],-Betalning_ur_kassa_tabell_1[[#Totals],[Period 1]],Finansierings_tabell_1[[#Totals],[Period 1]])</calculatedColumnFormula>
    </tableColumn>
    <tableColumn id="4" xr3:uid="{212054C4-0F4A-ED4C-9D3F-13423745932D}" name="Period 2" dataDxfId="524">
      <calculatedColumnFormula>SUM(Startkassa_och_intäkter_tabell_1[Period 2],-Betalning_ur_kassa_tabell_1[[#Totals],[Period 2]],Finansierings_tabell_1[[#Totals],[Period 2]])</calculatedColumnFormula>
    </tableColumn>
    <tableColumn id="5" xr3:uid="{0AA7A363-3EAC-8C46-A285-40077EAF1D09}" name="Period 3" dataDxfId="523">
      <calculatedColumnFormula>SUM(Startkassa_och_intäkter_tabell_1[Period 3],-Betalning_ur_kassa_tabell_1[[#Totals],[Period 3]],Finansierings_tabell_1[[#Totals],[Period 3]])</calculatedColumnFormula>
    </tableColumn>
    <tableColumn id="6" xr3:uid="{A9A6FAE3-7E52-B348-9C5D-699EC64686BC}" name="Period 4" dataDxfId="522">
      <calculatedColumnFormula>SUM(Startkassa_och_intäkter_tabell_1[Period 4],-Betalning_ur_kassa_tabell_1[[#Totals],[Period 4]],Finansierings_tabell_1[[#Totals],[Period 4]])</calculatedColumnFormula>
    </tableColumn>
    <tableColumn id="7" xr3:uid="{6EA9E331-0EA8-1242-B81A-4C667AB34428}" name="Period 5" dataDxfId="521">
      <calculatedColumnFormula>SUM(Startkassa_och_intäkter_tabell_1[Period 5],-Betalning_ur_kassa_tabell_1[[#Totals],[Period 5]],Finansierings_tabell_1[[#Totals],[Period 5]])</calculatedColumnFormula>
    </tableColumn>
    <tableColumn id="8" xr3:uid="{61342308-CC36-584B-9540-B8330A1E2461}" name="Period 6" dataDxfId="520">
      <calculatedColumnFormula>SUM(Startkassa_och_intäkter_tabell_1[Period 6],-Betalning_ur_kassa_tabell_1[[#Totals],[Period 6]],Finansierings_tabell_1[[#Totals],[Period 6]])</calculatedColumnFormula>
    </tableColumn>
    <tableColumn id="9" xr3:uid="{0657734F-1FF2-5C4C-9D95-BF529219E194}" name="Period 7" dataDxfId="519">
      <calculatedColumnFormula>SUM(Startkassa_och_intäkter_tabell_1[Period 7],-Betalning_ur_kassa_tabell_1[[#Totals],[Period 7]],Finansierings_tabell_1[[#Totals],[Period 7]])</calculatedColumnFormula>
    </tableColumn>
    <tableColumn id="10" xr3:uid="{9A21286E-F052-E04B-B97D-DEF4F7F5AB1F}" name="Period 8" dataDxfId="518">
      <calculatedColumnFormula>SUM(Startkassa_och_intäkter_tabell_1[Period 8],-Betalning_ur_kassa_tabell_1[[#Totals],[Period 8]],Finansierings_tabell_1[[#Totals],[Period 8]])</calculatedColumnFormula>
    </tableColumn>
    <tableColumn id="11" xr3:uid="{DBAF5266-61E0-DC41-9B7A-72CFDEE945ED}" name="Period 9" dataDxfId="517">
      <calculatedColumnFormula>SUM(Startkassa_och_intäkter_tabell_1[Period 9],-Betalning_ur_kassa_tabell_1[[#Totals],[Period 9]],Finansierings_tabell_1[[#Totals],[Period 9]])</calculatedColumnFormula>
    </tableColumn>
    <tableColumn id="12" xr3:uid="{A936E053-04CC-3F4C-8562-058614D8332E}" name="Period 10" dataDxfId="516">
      <calculatedColumnFormula>SUM(Startkassa_och_intäkter_tabell_1[Period 10],-Betalning_ur_kassa_tabell_1[[#Totals],[Period 10]],Finansierings_tabell_1[[#Totals],[Period 10]])</calculatedColumnFormula>
    </tableColumn>
    <tableColumn id="13" xr3:uid="{F6D6C17D-BE7F-E545-9639-9C557340BAAC}" name="Period 11" dataDxfId="515">
      <calculatedColumnFormula>SUM(Startkassa_och_intäkter_tabell_1[Period 11],-Betalning_ur_kassa_tabell_1[[#Totals],[Period 11]],Finansierings_tabell_1[[#Totals],[Period 11]])</calculatedColumnFormula>
    </tableColumn>
    <tableColumn id="14" xr3:uid="{31D76C86-A114-644D-9620-69FB7348CBFA}" name="Period 12" dataDxfId="514">
      <calculatedColumnFormula>SUM(Startkassa_och_intäkter_tabell_1[Period 12],-Betalning_ur_kassa_tabell_1[[#Totals],[Period 12]],Finansierings_tabell_1[[#Totals],[Period 12]])</calculatedColumnFormula>
    </tableColumn>
    <tableColumn id="15" xr3:uid="{2A950F9B-369B-A849-88DD-2F3B3A2D1812}" name="Totalt" dataDxfId="513">
      <calculatedColumnFormula>SUM(Betalningsberedskap_tabell_1[[#This Row],[Uppskattning]:[Period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maksuvalmius kuun lopussa -taulukko"/>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3D00F8E-4FE8-5343-9E50-05611CDD7B09}" name="Penningkällor_tabell" displayName="Penningkällor_tabell" comment="Penningkällor -tabell. Källor till medel för startfinansiering." ref="A36:C49" totalsRowCount="1" headerRowDxfId="795" dataDxfId="793" totalsRowDxfId="791" headerRowBorderDxfId="794" tableBorderDxfId="792" totalsRowBorderDxfId="790">
  <autoFilter ref="A36:C48" xr:uid="{53D00F8E-4FE8-5343-9E50-05611CDD7B09}">
    <filterColumn colId="0" hiddenButton="1"/>
    <filterColumn colId="1" hiddenButton="1"/>
    <filterColumn colId="2" hiddenButton="1"/>
  </autoFilter>
  <tableColumns count="3">
    <tableColumn id="1" xr3:uid="{7E882E9A-B1F9-0D43-95B9-E0702F872DE5}" name="Penningkällor (hur ordnar du den inledande finansieringen?)" totalsRowLabel="Penningkällor totalt" dataDxfId="789" totalsRowDxfId="788"/>
    <tableColumn id="2" xr3:uid="{148B4ED3-F452-784D-9677-F351FBCBC27E}" name="€" totalsRowFunction="sum" dataDxfId="787" totalsRowDxfId="786"/>
    <tableColumn id="3" xr3:uid="{8B7B5EFE-05F9-2947-95F1-C3DBF4E1A476}" name="Kommentar" dataDxfId="785" totalsRowDxfId="784"/>
  </tableColumns>
  <tableStyleInfo name="Helsinki_taulukko_tyyli" showFirstColumn="1" showLastColumn="0" showRowStripes="0" showColumnStripes="0"/>
  <extLst>
    <ext xmlns:x14="http://schemas.microsoft.com/office/spreadsheetml/2009/9/main" uri="{504A1905-F514-4f6f-8877-14C23A59335A}">
      <x14:table altTextSummary="Rahan lähteet -taulukko"/>
    </ext>
  </extLst>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C922F40D-8C92-8749-908C-49EACF919822}" name="Finansierings_tabell_1" displayName="Finansierings_tabell_1" comment="Finansieringen av varje period av det första året. Amortering pä lån och ägarnas privata uttag är undantagna." ref="A33:O40" totalsRowCount="1" headerRowDxfId="512" dataDxfId="510" totalsRowDxfId="508" headerRowBorderDxfId="511" tableBorderDxfId="509" totalsRowBorderDxfId="507">
  <autoFilter ref="A33:O39" xr:uid="{C922F40D-8C92-8749-908C-49EACF91982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FCC523B1-AF2A-C045-80AB-E256FC98FA22}" name="Finansiering" totalsRowLabel="Finansiering totalt" dataDxfId="506" totalsRowDxfId="505"/>
    <tableColumn id="2" xr3:uid="{66B96561-A5D0-964C-BF35-2B42BDBA69A7}" name="Uppskattning" totalsRowFunction="custom" dataDxfId="504" totalsRowDxfId="503">
      <totalsRowFormula>SUM(-B34,B35:B36,-B37,B38:B39)</totalsRowFormula>
    </tableColumn>
    <tableColumn id="3" xr3:uid="{2818987C-6573-A04D-950E-277724F8F9F8}" name="Period 1" totalsRowFunction="custom" dataDxfId="502" totalsRowDxfId="501">
      <totalsRowFormula>SUM(-C34,C35:C36,-C37,C38:C39)</totalsRowFormula>
    </tableColumn>
    <tableColumn id="4" xr3:uid="{76CF96B1-D50C-E242-804B-1620F4C0344A}" name="Period 2" totalsRowFunction="custom" dataDxfId="500" totalsRowDxfId="499">
      <totalsRowFormula>SUM(-D34,D35:D36,-D37,D38:D39)</totalsRowFormula>
    </tableColumn>
    <tableColumn id="5" xr3:uid="{878831BD-1F90-8C45-A854-5A08E712C68E}" name="Period 3" totalsRowFunction="custom" dataDxfId="498" totalsRowDxfId="497">
      <totalsRowFormula>SUM(-E34,E35:E36,-E37,E38:E39)</totalsRowFormula>
    </tableColumn>
    <tableColumn id="6" xr3:uid="{64D76D1D-1094-2843-9289-BAB199C0A6B3}" name="Period 4" totalsRowFunction="custom" dataDxfId="496" totalsRowDxfId="495">
      <totalsRowFormula>SUM(-F34,F35:F36,-F37,F38:F39)</totalsRowFormula>
    </tableColumn>
    <tableColumn id="7" xr3:uid="{89D6CEB3-4441-FC47-9AE6-FC204FBB9CC2}" name="Period 5" totalsRowFunction="custom" dataDxfId="494" totalsRowDxfId="493">
      <totalsRowFormula>SUM(-G34,G35:G36,-G37,G38:G39)</totalsRowFormula>
    </tableColumn>
    <tableColumn id="8" xr3:uid="{398A2667-2674-7847-B8AE-DDD76C4A7EA5}" name="Period 6" totalsRowFunction="custom" dataDxfId="492" totalsRowDxfId="491">
      <totalsRowFormula>SUM(-H34,H35:H36,-H37,H38:H39)</totalsRowFormula>
    </tableColumn>
    <tableColumn id="9" xr3:uid="{65A40B66-B2B9-F643-BA51-784E65A9E1F3}" name="Period 7" totalsRowFunction="custom" dataDxfId="490" totalsRowDxfId="489">
      <totalsRowFormula>SUM(-I34,I35:I36,-I37,I38:I39)</totalsRowFormula>
    </tableColumn>
    <tableColumn id="10" xr3:uid="{F0E50584-0AC5-E94F-B03A-0699A73EF4A2}" name="Period 8" totalsRowFunction="custom" dataDxfId="488" totalsRowDxfId="487">
      <totalsRowFormula>SUM(-J34,J35:J36,-J37,J38:J39)</totalsRowFormula>
    </tableColumn>
    <tableColumn id="11" xr3:uid="{A60E92D4-4E1E-9F4D-8659-9ED0E99B108B}" name="Period 9" totalsRowFunction="custom" dataDxfId="486" totalsRowDxfId="485">
      <totalsRowFormula>SUM(-K34,K35:K36,-K37,K38:K39)</totalsRowFormula>
    </tableColumn>
    <tableColumn id="12" xr3:uid="{87F3551F-DB54-BF4C-B8A3-AA29CEA18BF8}" name="Period 10" totalsRowFunction="custom" dataDxfId="484" totalsRowDxfId="483">
      <totalsRowFormula>SUM(-L34,L35:L36,-L37,L38:L39)</totalsRowFormula>
    </tableColumn>
    <tableColumn id="13" xr3:uid="{BEB17145-FA92-A04F-871D-68B27B1B2A10}" name="Period 11" totalsRowFunction="custom" dataDxfId="482" totalsRowDxfId="481">
      <totalsRowFormula>SUM(-M34,M35:M36,-M37,M38:M39)</totalsRowFormula>
    </tableColumn>
    <tableColumn id="14" xr3:uid="{CAC666F2-7C2F-4A44-8E05-F0C3DEA2A2F2}" name="Period 12" totalsRowFunction="custom" dataDxfId="480" totalsRowDxfId="479">
      <totalsRowFormula>SUM(-N34,N35:N36,-N37,N38:N39)</totalsRowFormula>
    </tableColumn>
    <tableColumn id="15" xr3:uid="{5C7D0F0A-23B9-3E4F-AFE1-A0452424FC57}" name="Totalt" totalsRowFunction="custom" dataDxfId="478" totalsRowDxfId="477">
      <calculatedColumnFormula>SUM(Finansierings_tabell_1[[#This Row],[Uppskattning]:[Period 12]])</calculatedColumnFormula>
      <totalsRowFormula>SUM(Finansierings_tabell_1[[#Totals],[Uppskattning]:[Period 12]])</totalsRow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rahoitus -taulukko"/>
    </ext>
  </extLst>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FE437FF9-D5FB-684A-AAC0-0E054B3277B7}" name="Anvisningar_för_kassaflödeskalkyl_1" displayName="Anvisningar_för_kassaflödeskalkyl_1" comment="Instruktioner för kassaflödesberäkning av det första året." ref="A44:A45" totalsRowShown="0" headerRowDxfId="476" dataDxfId="474" headerRowBorderDxfId="475" tableBorderDxfId="473" totalsRowBorderDxfId="472">
  <autoFilter ref="A44:A45" xr:uid="{FE437FF9-D5FB-684A-AAC0-0E054B3277B7}">
    <filterColumn colId="0" hiddenButton="1"/>
  </autoFilter>
  <tableColumns count="1">
    <tableColumn id="1" xr3:uid="{E74F2B20-1C8F-D146-A876-FD0500E1F2F7}" name="Anvisningar för kassaflödeskalkyl:" dataDxfId="471"/>
  </tableColumns>
  <tableStyleInfo name="Helsinki_taulukko_tyyli" showFirstColumn="0" showLastColumn="0" showRowStripes="0"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A47778E7-A926-1E41-AD64-F4192822B7A0}" name="Betalning_ur_kassa_moms_tabell_1" displayName="Betalning_ur_kassa_moms_tabell_1" comment="Kontantbetalningarna (inklusive moms) för varje period under det första året." ref="A18:O21" headerRowDxfId="470" dataDxfId="468" totalsRowDxfId="466" headerRowBorderDxfId="469" tableBorderDxfId="467" totalsRowBorderDxfId="465">
  <autoFilter ref="A18:O21" xr:uid="{A47778E7-A926-1E41-AD64-F4192822B7A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9A8CC0D1-2D22-FC42-B484-775C2EA37CBC}" name="Betalning ur kassa (inklusive moms)" totalsRowLabel="Total" dataDxfId="464" totalsRowDxfId="463"/>
    <tableColumn id="2" xr3:uid="{D5C62868-FD46-B447-9A40-0E6EB2AEC02C}" name="Uppskattning" dataDxfId="462" totalsRowDxfId="461">
      <calculatedColumnFormula>SUM(Startkassa_tabell_1[Uppskattning],Betalning_till_kassa_tabell_1[[#Totals],[Uppskattning]])</calculatedColumnFormula>
    </tableColumn>
    <tableColumn id="3" xr3:uid="{F833C43F-3BCA-0C47-8B3C-66D4CFEB6852}" name="Period 1" dataDxfId="460" totalsRowDxfId="459">
      <calculatedColumnFormula>SUM(Startkassa_tabell_1[Period 1],Betalning_till_kassa_tabell_1[[#Totals],[Period 1]])</calculatedColumnFormula>
    </tableColumn>
    <tableColumn id="4" xr3:uid="{FF88752E-4300-8047-AAA3-C047D5DAC3C4}" name="Period 2" dataDxfId="458" totalsRowDxfId="457">
      <calculatedColumnFormula>SUM(Startkassa_tabell_1[Period 2],Betalning_till_kassa_tabell_1[[#Totals],[Period 2]])</calculatedColumnFormula>
    </tableColumn>
    <tableColumn id="5" xr3:uid="{002BD6C8-D907-6540-85E9-446FA9121892}" name="Period 3" dataDxfId="456" totalsRowDxfId="455">
      <calculatedColumnFormula>SUM(Startkassa_tabell_1[Period 3],Betalning_till_kassa_tabell_1[[#Totals],[Period 3]])</calculatedColumnFormula>
    </tableColumn>
    <tableColumn id="6" xr3:uid="{4309D0BC-C0CA-5E48-AE04-C339C357A133}" name="Period 4" dataDxfId="454" totalsRowDxfId="453">
      <calculatedColumnFormula>SUM(Startkassa_tabell_1[Period 4],Betalning_till_kassa_tabell_1[[#Totals],[Period 4]])</calculatedColumnFormula>
    </tableColumn>
    <tableColumn id="7" xr3:uid="{BE9C6D79-1DD8-BB4E-A544-05FA0B765286}" name="Period 5" dataDxfId="452" totalsRowDxfId="451">
      <calculatedColumnFormula>SUM(Startkassa_tabell_1[Period 5],Betalning_till_kassa_tabell_1[[#Totals],[Period 5]])</calculatedColumnFormula>
    </tableColumn>
    <tableColumn id="8" xr3:uid="{E15A4C4D-3F97-0243-825A-B2584CDBDA0D}" name="Period 6" dataDxfId="450" totalsRowDxfId="449">
      <calculatedColumnFormula>SUM(Startkassa_tabell_1[Period 6],Betalning_till_kassa_tabell_1[[#Totals],[Period 6]])</calculatedColumnFormula>
    </tableColumn>
    <tableColumn id="9" xr3:uid="{A9E54B78-619B-F64C-B98C-D2E290F6C767}" name="Period 7" dataDxfId="448" totalsRowDxfId="447">
      <calculatedColumnFormula>SUM(Startkassa_tabell_1[Period 7],Betalning_till_kassa_tabell_1[[#Totals],[Period 7]])</calculatedColumnFormula>
    </tableColumn>
    <tableColumn id="10" xr3:uid="{43E100C5-2A63-AD40-90C0-8B6F2F49E45A}" name="Period 8" dataDxfId="446" totalsRowDxfId="445">
      <calculatedColumnFormula>SUM(Startkassa_tabell_1[Period 8],Betalning_till_kassa_tabell_1[[#Totals],[Period 8]])</calculatedColumnFormula>
    </tableColumn>
    <tableColumn id="11" xr3:uid="{3F4B51C0-0A63-4F43-A1A9-E588325FE9F0}" name="Period 9" dataDxfId="444" totalsRowDxfId="443">
      <calculatedColumnFormula>SUM(Startkassa_tabell_1[Period 9],Betalning_till_kassa_tabell_1[[#Totals],[Period 9]])</calculatedColumnFormula>
    </tableColumn>
    <tableColumn id="12" xr3:uid="{6D6C54C7-9FA7-1B45-9F12-F375057CA166}" name="Period 10" dataDxfId="442" totalsRowDxfId="441">
      <calculatedColumnFormula>SUM(Startkassa_tabell_1[Period 10],Betalning_till_kassa_tabell_1[[#Totals],[Period 10]])</calculatedColumnFormula>
    </tableColumn>
    <tableColumn id="13" xr3:uid="{14276E9C-F6B9-AF4B-ADD2-C5BEAB782EF9}" name="Period 11" dataDxfId="440" totalsRowDxfId="439">
      <calculatedColumnFormula>SUM(Startkassa_tabell_1[Period 11],Betalning_till_kassa_tabell_1[[#Totals],[Period 11]])</calculatedColumnFormula>
    </tableColumn>
    <tableColumn id="14" xr3:uid="{DD70956B-7297-F143-94D3-39CB3B759AE6}" name="Period 12" dataDxfId="438" totalsRowDxfId="437">
      <calculatedColumnFormula>SUM(Startkassa_tabell_1[Period 12],Betalning_till_kassa_tabell_1[[#Totals],[Period 12]])</calculatedColumnFormula>
    </tableColumn>
    <tableColumn id="15" xr3:uid="{DDC97F0A-E59E-AF43-9522-72F5D0FEF750}" name="Totalt" totalsRowFunction="sum" dataDxfId="436" totalsRowDxfId="435">
      <calculatedColumnFormula>SUM(Startkassa_tabell_1[Totalt],Betalning_till_kassa_tabell_1[[#Totals],[Totalt]])</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ja tulot -taulukko"/>
    </ext>
  </extLst>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4DE81890-19C2-FA49-8E8F-931C48423BA0}" name="Betalning_till_kassa_tabell_2" displayName="Betalning_till_kassa_tabell_2" comment="Kassakvitton för varje period under det andra året." ref="A10:N15" headerRowDxfId="434" dataDxfId="432" totalsRowDxfId="430" headerRowBorderDxfId="433" tableBorderDxfId="431" totalsRowBorderDxfId="429">
  <autoFilter ref="A10:N15" xr:uid="{E60A1218-0546-5B4B-AC2C-2B93DEACA6B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B2FB31B5-01D6-A14A-A006-02D948D1461A}" name="Betalning till kassa, det vill säga intäkter" totalsRowLabel="Yhteensä" dataDxfId="428" totalsRowDxfId="427"/>
    <tableColumn id="3" xr3:uid="{54FE5027-D959-C04A-B433-F21E68581576}" name="Period 1" totalsRowFunction="sum" dataDxfId="426" totalsRowDxfId="425"/>
    <tableColumn id="4" xr3:uid="{8B2A603F-EBB4-C24F-9118-1CC0EC97F8A1}" name="Period 2" totalsRowFunction="sum" dataDxfId="424" totalsRowDxfId="423"/>
    <tableColumn id="5" xr3:uid="{CFD3C3DC-87A1-034B-BD00-3AF22123B101}" name="Period 3" totalsRowFunction="sum" dataDxfId="422" totalsRowDxfId="421"/>
    <tableColumn id="6" xr3:uid="{BAC9B149-F847-BB44-ACAE-381884DE4887}" name="Period 4" totalsRowFunction="sum" dataDxfId="420" totalsRowDxfId="419"/>
    <tableColumn id="7" xr3:uid="{002B1B25-8363-4A4E-930F-C8960C5E574F}" name="Period 5" totalsRowFunction="sum" dataDxfId="418" totalsRowDxfId="417"/>
    <tableColumn id="8" xr3:uid="{DE2B8EFD-75C8-3949-9EE0-CC9A1F075042}" name="Period 6" totalsRowFunction="sum" dataDxfId="416" totalsRowDxfId="415"/>
    <tableColumn id="9" xr3:uid="{E84300C2-72DB-954D-9654-2F8C0F41CDB0}" name="Period 7" totalsRowFunction="sum" dataDxfId="414" totalsRowDxfId="413"/>
    <tableColumn id="10" xr3:uid="{CFDBB0E7-4728-BE49-A565-1E772A4C7E31}" name="Period 8" totalsRowFunction="sum" dataDxfId="412" totalsRowDxfId="411"/>
    <tableColumn id="11" xr3:uid="{F4D2F198-8789-7443-8560-22BA50C03D8B}" name="Period 9" totalsRowFunction="sum" dataDxfId="410" totalsRowDxfId="409"/>
    <tableColumn id="12" xr3:uid="{C0606655-2C9F-6046-A42B-4FAB790E6ECF}" name="Period 10" totalsRowFunction="sum" dataDxfId="408" totalsRowDxfId="407"/>
    <tableColumn id="13" xr3:uid="{DBF4B5F9-E095-C142-8D7A-CFEF28E5DFBE}" name="Period 11" totalsRowFunction="sum" dataDxfId="406" totalsRowDxfId="405"/>
    <tableColumn id="14" xr3:uid="{34D1A991-646D-4543-850D-730F02C35846}" name="Period 12" totalsRowFunction="sum" dataDxfId="404" totalsRowDxfId="403"/>
    <tableColumn id="15" xr3:uid="{8861E1EC-CD20-0444-9644-1A2542D2E6FD}" name="Totalt" totalsRowFunction="sum" dataDxfId="402" totalsRowDxfId="401">
      <calculatedColumnFormula>SUM(Betalning_till_kassa_tabell_2[[#This Row],[Period 1]:[Period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kassaanmaksu -taulukko"/>
    </ext>
  </extLst>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5C3544E7-7892-C749-8B8A-09ED0634E467}" name="Betalning_ur_kassa_tabell_2" displayName="Betalning_ur_kassa_tabell_2" comment="Kontantbetalningarna (moms 0%) för varje period under det andra året." ref="A22:N32" totalsRowCount="1" headerRowDxfId="400" dataDxfId="398" totalsRowDxfId="396" headerRowBorderDxfId="399" tableBorderDxfId="397" totalsRowBorderDxfId="395">
  <autoFilter ref="A22:N31" xr:uid="{D9711FDB-A19A-7741-A748-BA2445773EA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50C9E6A2-DD68-DC42-9C51-8B01DCABAE98}" name="Betalning ur kassa (moms 0 %)" totalsRowLabel="Betalning ur kassa totalt" dataDxfId="394" totalsRowDxfId="393"/>
    <tableColumn id="3" xr3:uid="{9EBA3A1F-4540-734E-8AA0-83564FAFEC0F}" name="Period 1" totalsRowFunction="custom" dataDxfId="392" totalsRowDxfId="391">
      <totalsRowFormula>SUM(Betalning_ur_kassa_tabell_2[Period 1],B19,B21)</totalsRowFormula>
    </tableColumn>
    <tableColumn id="4" xr3:uid="{FDA02E50-3C80-B94D-901F-625A56CD8531}" name="Period 2" totalsRowFunction="custom" dataDxfId="390" totalsRowDxfId="389">
      <totalsRowFormula>SUM(Betalning_ur_kassa_tabell_2[Period 2],C19,C21)</totalsRowFormula>
    </tableColumn>
    <tableColumn id="5" xr3:uid="{38C01A60-C901-0040-A602-8E6063FD02DB}" name="Period 3" totalsRowFunction="custom" dataDxfId="388" totalsRowDxfId="387">
      <totalsRowFormula>SUM(Betalning_ur_kassa_tabell_2[Period 3],D19,D21)</totalsRowFormula>
    </tableColumn>
    <tableColumn id="6" xr3:uid="{4D10E16B-9DC3-8544-BCBE-13883DE60C94}" name="Period 4" totalsRowFunction="custom" dataDxfId="386" totalsRowDxfId="385">
      <totalsRowFormula>SUM(Betalning_ur_kassa_tabell_2[Period 4],E19,E21)</totalsRowFormula>
    </tableColumn>
    <tableColumn id="7" xr3:uid="{3D87EA85-A350-9748-9F49-CDA6D1BE9939}" name="Period 5" totalsRowFunction="custom" dataDxfId="384" totalsRowDxfId="383">
      <totalsRowFormula>SUM(Betalning_ur_kassa_tabell_2[Period 5],F19,F21)</totalsRowFormula>
    </tableColumn>
    <tableColumn id="8" xr3:uid="{A693B5F4-D290-AC4E-A93A-4DFA62ACE5B9}" name="Period 6" totalsRowFunction="custom" dataDxfId="382" totalsRowDxfId="381">
      <totalsRowFormula>SUM(Betalning_ur_kassa_tabell_2[Period 6],G19,G21)</totalsRowFormula>
    </tableColumn>
    <tableColumn id="9" xr3:uid="{792ACC92-B80D-6443-B08F-938C3DA89405}" name="Period 7" totalsRowFunction="custom" dataDxfId="380" totalsRowDxfId="379">
      <totalsRowFormula>SUM(Betalning_ur_kassa_tabell_2[Period 7],H19,H21)</totalsRowFormula>
    </tableColumn>
    <tableColumn id="10" xr3:uid="{96109234-A843-F54D-AC47-3A80AA9D738B}" name="Period 8" totalsRowFunction="custom" dataDxfId="378" totalsRowDxfId="377">
      <totalsRowFormula>SUM(Betalning_ur_kassa_tabell_2[Period 8],I19,I21)</totalsRowFormula>
    </tableColumn>
    <tableColumn id="11" xr3:uid="{B8F201BC-882D-E742-9AA7-8C68C6D88B3B}" name="Period 9" totalsRowFunction="custom" dataDxfId="376" totalsRowDxfId="375">
      <totalsRowFormula>SUM(Betalning_ur_kassa_tabell_2[Period 9],J19,J21)</totalsRowFormula>
    </tableColumn>
    <tableColumn id="12" xr3:uid="{7A53A46A-5BC8-2A47-8573-AB9BE25215BF}" name="Period 10" totalsRowFunction="custom" dataDxfId="374" totalsRowDxfId="373">
      <totalsRowFormula>SUM(Betalning_ur_kassa_tabell_2[Period 10],K19,K21)</totalsRowFormula>
    </tableColumn>
    <tableColumn id="13" xr3:uid="{05C97F71-4B7A-DB43-B081-A8441D37F8EA}" name="Period 11" totalsRowFunction="custom" dataDxfId="372" totalsRowDxfId="371">
      <totalsRowFormula>SUM(Betalning_ur_kassa_tabell_2[Period 11],L19,L21)</totalsRowFormula>
    </tableColumn>
    <tableColumn id="14" xr3:uid="{B86FA89A-DC3F-D64F-8216-78C1DCBBB943}" name="Period 12" totalsRowFunction="custom" dataDxfId="370" totalsRowDxfId="369">
      <totalsRowFormula>SUM(Betalning_ur_kassa_tabell_2[Period 12],M19,M21)</totalsRowFormula>
    </tableColumn>
    <tableColumn id="15" xr3:uid="{D9319BC3-F3AC-5842-9664-68E39C1DD6DB}" name="Totalt" totalsRowFunction="custom" dataDxfId="368" totalsRowDxfId="367">
      <calculatedColumnFormula>SUM(Betalning_ur_kassa_tabell_2[[#This Row],[Period 1]:[Period 12]])</calculatedColumnFormula>
      <totalsRowFormula>SUM(Betalning_ur_kassa_tabell_2[[#Totals],[Period 1]:[Period 12]])</totalsRow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kassastamaksu -taulukko"/>
    </ext>
  </extLst>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B4CA1C5D-60F3-0346-8340-01DEB743E8E7}" name="Startkassa_tabell_2" displayName="Startkassa_tabell_2" comment="Kassakvitton för varje period under det andra året." ref="A8:N9" headerRowDxfId="366" dataDxfId="364" totalsRowDxfId="362" headerRowBorderDxfId="365" tableBorderDxfId="363" totalsRowBorderDxfId="361">
  <autoFilter ref="A8:N9" xr:uid="{E859B1C7-FD8F-A44C-B13C-88F30BFD3BA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2B879D7D-B1DF-0E4A-9176-88B7029B7775}" name="Startkassa, det vill säga likvida medel i början av perioden" totalsRowLabel="Total" dataDxfId="360"/>
    <tableColumn id="3" xr3:uid="{B3339FBB-A7FF-094D-A2BA-5E8C94903117}" name="Period 1" dataDxfId="359">
      <calculatedColumnFormula>Kassaflödeskalkyl1å!N42</calculatedColumnFormula>
    </tableColumn>
    <tableColumn id="4" xr3:uid="{44A0AC23-0295-BC4A-8A74-2B7436909F5E}" name="Period 2" dataDxfId="358">
      <calculatedColumnFormula>B42</calculatedColumnFormula>
    </tableColumn>
    <tableColumn id="5" xr3:uid="{1CA224BA-A73F-204E-A3F7-7BED8430DEFC}" name="Period 3" dataDxfId="357">
      <calculatedColumnFormula>C42</calculatedColumnFormula>
    </tableColumn>
    <tableColumn id="6" xr3:uid="{DD286584-5E64-B14F-9B63-50FD0049BA3E}" name="Period 4" dataDxfId="356">
      <calculatedColumnFormula>D42</calculatedColumnFormula>
    </tableColumn>
    <tableColumn id="7" xr3:uid="{A6B23427-EDE2-7242-975A-5380D024A736}" name="Period 5" dataDxfId="355">
      <calculatedColumnFormula>E42</calculatedColumnFormula>
    </tableColumn>
    <tableColumn id="8" xr3:uid="{FEDE8220-B166-A840-ABF0-8642BEEFEB2C}" name="Period 6" dataDxfId="354">
      <calculatedColumnFormula>F42</calculatedColumnFormula>
    </tableColumn>
    <tableColumn id="9" xr3:uid="{0AD54708-A661-2D43-96AF-0AE4445FFD65}" name="Period 7" dataDxfId="353">
      <calculatedColumnFormula>G42</calculatedColumnFormula>
    </tableColumn>
    <tableColumn id="10" xr3:uid="{A090ED3A-E7A9-EA4D-B286-A3AD7C0C9CE1}" name="Period 8" dataDxfId="352">
      <calculatedColumnFormula>H42</calculatedColumnFormula>
    </tableColumn>
    <tableColumn id="11" xr3:uid="{6EEFCDF4-D780-3742-BFC0-57F8F6F5369F}" name="Period 9" dataDxfId="351">
      <calculatedColumnFormula>I42</calculatedColumnFormula>
    </tableColumn>
    <tableColumn id="12" xr3:uid="{0FF905D4-1CB8-774F-A4DE-5B6A921E1CD2}" name="Period 10" dataDxfId="350">
      <calculatedColumnFormula>J42</calculatedColumnFormula>
    </tableColumn>
    <tableColumn id="13" xr3:uid="{997C2672-2D88-964A-93E8-C0B530CEBEDE}" name="Period 11" dataDxfId="349">
      <calculatedColumnFormula>K42</calculatedColumnFormula>
    </tableColumn>
    <tableColumn id="14" xr3:uid="{E220ABCA-F4F8-C543-A1D9-4DBE785EFBA1}" name="Period 12" dataDxfId="348">
      <calculatedColumnFormula>L42</calculatedColumnFormula>
    </tableColumn>
    <tableColumn id="15" xr3:uid="{7A65C4EF-8822-1E4B-8584-C20CD38EB749}" name="Totalt" totalsRowFunction="sum" dataDxfId="347"/>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taulukko"/>
    </ext>
  </extLst>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2C8C81D4-5D6C-0743-9F1B-D79B140F6758}" name="Startkassa_och_intäkter_tabell_2" displayName="Startkassa_och_intäkter_tabell_2" comment="Ingående balans och intäkter för varje period under det andra året." ref="A16:N17" headerRowDxfId="346" dataDxfId="344" totalsRowDxfId="342" headerRowBorderDxfId="345" tableBorderDxfId="343" totalsRowBorderDxfId="341">
  <autoFilter ref="A16:N17" xr:uid="{CA23FAC7-F6C9-C84C-96AE-3DE9DA5CF41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6707F626-2E6C-3C41-AD4B-694ED492D722}" name="Startkassa och intäkter" totalsRowLabel="Total" dataDxfId="340" totalsRowDxfId="339"/>
    <tableColumn id="3" xr3:uid="{B6AB6068-3F16-4C49-B5DB-6E0BFAEEB08F}" name="Period 1" dataDxfId="338" totalsRowDxfId="337">
      <calculatedColumnFormula>SUM(Startkassa_tabell_2[Period 1],B15)</calculatedColumnFormula>
    </tableColumn>
    <tableColumn id="4" xr3:uid="{A15FAF32-7EB0-6543-8F51-B8859010F4BC}" name="Period 2" dataDxfId="336" totalsRowDxfId="335">
      <calculatedColumnFormula>SUM(Startkassa_tabell_2[Period 2],C15)</calculatedColumnFormula>
    </tableColumn>
    <tableColumn id="5" xr3:uid="{00444C7A-18EF-7A49-A8A5-EDDBC95A7E69}" name="Period 3" dataDxfId="334" totalsRowDxfId="333">
      <calculatedColumnFormula>SUM(Startkassa_tabell_2[Period 3],D15)</calculatedColumnFormula>
    </tableColumn>
    <tableColumn id="6" xr3:uid="{F28D2454-7292-F046-AA18-B1034CC6D318}" name="Period 4" dataDxfId="332" totalsRowDxfId="331">
      <calculatedColumnFormula>SUM(Startkassa_tabell_2[Period 4],E15)</calculatedColumnFormula>
    </tableColumn>
    <tableColumn id="7" xr3:uid="{D0270102-1A4F-4843-950E-F044B2572EB9}" name="Period 5" dataDxfId="330" totalsRowDxfId="329">
      <calculatedColumnFormula>SUM(Startkassa_tabell_2[Period 5],F15)</calculatedColumnFormula>
    </tableColumn>
    <tableColumn id="8" xr3:uid="{48CCD256-BACC-6445-A740-1F6712C6605C}" name="Period 6" dataDxfId="328" totalsRowDxfId="327">
      <calculatedColumnFormula>SUM(Startkassa_tabell_2[Period 6],G15)</calculatedColumnFormula>
    </tableColumn>
    <tableColumn id="9" xr3:uid="{60F19E4D-7FB6-EB4D-85E3-346D846FF87B}" name="Period 7" dataDxfId="326" totalsRowDxfId="325">
      <calculatedColumnFormula>SUM(Startkassa_tabell_2[Period 7],H15)</calculatedColumnFormula>
    </tableColumn>
    <tableColumn id="10" xr3:uid="{0EF0275A-8A08-B148-998A-58FDA2F5D397}" name="Period 8" dataDxfId="324" totalsRowDxfId="323">
      <calculatedColumnFormula>SUM(Startkassa_tabell_2[Period 8],I15)</calculatedColumnFormula>
    </tableColumn>
    <tableColumn id="11" xr3:uid="{BA9C6593-14D0-B042-A952-6B4C12F54BE8}" name="Period 9" dataDxfId="322" totalsRowDxfId="321">
      <calculatedColumnFormula>SUM(Startkassa_tabell_2[Period 9],J15)</calculatedColumnFormula>
    </tableColumn>
    <tableColumn id="12" xr3:uid="{777B5E50-5D3C-174A-8380-BAD507CF34A2}" name="Period 10" dataDxfId="320" totalsRowDxfId="319">
      <calculatedColumnFormula>SUM(Startkassa_tabell_2[Period 10],K15)</calculatedColumnFormula>
    </tableColumn>
    <tableColumn id="13" xr3:uid="{20424807-241A-E647-9F96-EB2EF1C7640B}" name="Period 11" dataDxfId="318" totalsRowDxfId="317">
      <calculatedColumnFormula>SUM(Startkassa_tabell_2[Period 11],L15)</calculatedColumnFormula>
    </tableColumn>
    <tableColumn id="14" xr3:uid="{F8E711B2-F2DC-8046-AF34-FAEDF8DFC9D2}" name="Period 12" dataDxfId="316" totalsRowDxfId="315">
      <calculatedColumnFormula>SUM(Startkassa_tabell_2[Period 12],M15)</calculatedColumnFormula>
    </tableColumn>
    <tableColumn id="15" xr3:uid="{20AC50C8-3DDC-2A4A-9514-33DD80F88D8A}" name="Totalt" totalsRowFunction="sum" dataDxfId="314" totalsRowDxfId="313"/>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ja tulot -taulukko"/>
    </ext>
  </extLst>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D34E4FA-F0D6-EE4C-BA95-5735985C8607}" name="Betalningsberedskap_tabell_2" displayName="Betalningsberedskap_tabell_2" comment="Summan av ingående balans, intäkter och finansiering för varje period av det andra året." ref="A41:N43" totalsRowShown="0" headerRowDxfId="312" dataDxfId="310" headerRowBorderDxfId="311" tableBorderDxfId="309" totalsRowBorderDxfId="308">
  <autoFilter ref="A41:N43" xr:uid="{C7E86B2D-0B2E-D645-BA90-973ABE71AAE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92DEFA56-9820-9A49-BC6C-F7FC5B1AB7A0}" name="Betalningsberedskap (i slutet av månaden)" dataDxfId="307"/>
    <tableColumn id="3" xr3:uid="{18928AFB-FC8A-F043-B241-3D9B251032AD}" name="Period 1" dataDxfId="306">
      <calculatedColumnFormula>SUM(Startkassa_och_intäkter_tabell_2[Period 1],-Betalning_ur_kassa_tabell_2[[#Totals],[Period 1]],Finansierings_tabell_2[[#Totals],[Period 1]])</calculatedColumnFormula>
    </tableColumn>
    <tableColumn id="4" xr3:uid="{8DE692B6-8845-B84C-B2E9-768BFF55C772}" name="Period 2" dataDxfId="305">
      <calculatedColumnFormula>SUM(Startkassa_och_intäkter_tabell_2[Period 2],-Betalning_ur_kassa_tabell_2[[#Totals],[Period 2]],Finansierings_tabell_2[[#Totals],[Period 2]])</calculatedColumnFormula>
    </tableColumn>
    <tableColumn id="5" xr3:uid="{21B83108-5C9F-284B-98C9-026AE8157710}" name="Period 3" dataDxfId="304">
      <calculatedColumnFormula>SUM(Startkassa_och_intäkter_tabell_2[Period 3],-Betalning_ur_kassa_tabell_2[[#Totals],[Period 3]],Finansierings_tabell_2[[#Totals],[Period 3]])</calculatedColumnFormula>
    </tableColumn>
    <tableColumn id="6" xr3:uid="{1EC5710E-3006-E541-BF8A-C12A93FFE87D}" name="Period 4" dataDxfId="303">
      <calculatedColumnFormula>SUM(Startkassa_och_intäkter_tabell_2[Period 4],-Betalning_ur_kassa_tabell_2[[#Totals],[Period 4]],Finansierings_tabell_2[[#Totals],[Period 4]])</calculatedColumnFormula>
    </tableColumn>
    <tableColumn id="7" xr3:uid="{69382C2C-0181-F245-BE0A-5D89A7CED742}" name="Period 5" dataDxfId="302">
      <calculatedColumnFormula>SUM(Startkassa_och_intäkter_tabell_2[Period 5],-Betalning_ur_kassa_tabell_2[[#Totals],[Period 5]],Finansierings_tabell_2[[#Totals],[Period 5]])</calculatedColumnFormula>
    </tableColumn>
    <tableColumn id="8" xr3:uid="{F0AA41E8-3D96-3148-B62F-B2C9C3E20A31}" name="Period 6" dataDxfId="301">
      <calculatedColumnFormula>SUM(Startkassa_och_intäkter_tabell_2[Period 6],-Betalning_ur_kassa_tabell_2[[#Totals],[Period 6]],Finansierings_tabell_2[[#Totals],[Period 6]])</calculatedColumnFormula>
    </tableColumn>
    <tableColumn id="9" xr3:uid="{831C890F-97C5-4B42-938D-A8557EFFE467}" name="Period 7" dataDxfId="300">
      <calculatedColumnFormula>SUM(Startkassa_och_intäkter_tabell_2[Period 7],-Betalning_ur_kassa_tabell_2[[#Totals],[Period 7]],Finansierings_tabell_2[[#Totals],[Period 7]])</calculatedColumnFormula>
    </tableColumn>
    <tableColumn id="10" xr3:uid="{C37C76DC-FF4E-FD48-ABDA-4724D77C21CF}" name="Period 8" dataDxfId="299">
      <calculatedColumnFormula>SUM(Startkassa_och_intäkter_tabell_2[Period 8],-Betalning_ur_kassa_tabell_2[[#Totals],[Period 8]],Finansierings_tabell_2[[#Totals],[Period 8]])</calculatedColumnFormula>
    </tableColumn>
    <tableColumn id="11" xr3:uid="{589A8677-6333-D144-9597-C670CCA7BB57}" name="Period 9" dataDxfId="298">
      <calculatedColumnFormula>SUM(Startkassa_och_intäkter_tabell_2[Period 9],-Betalning_ur_kassa_tabell_2[[#Totals],[Period 9]],Finansierings_tabell_2[[#Totals],[Period 9]])</calculatedColumnFormula>
    </tableColumn>
    <tableColumn id="12" xr3:uid="{2A5FE41A-D430-B24F-A148-C1CCE8AFF969}" name="Period 10" dataDxfId="297">
      <calculatedColumnFormula>SUM(Startkassa_och_intäkter_tabell_2[Period 10],-Betalning_ur_kassa_tabell_2[[#Totals],[Period 10]],Finansierings_tabell_2[[#Totals],[Period 10]])</calculatedColumnFormula>
    </tableColumn>
    <tableColumn id="13" xr3:uid="{75156DAA-EBEF-E24C-9585-42B485EB7A14}" name="Period 11" dataDxfId="296">
      <calculatedColumnFormula>SUM(Startkassa_och_intäkter_tabell_2[Period 11],-Betalning_ur_kassa_tabell_2[[#Totals],[Period 11]],Finansierings_tabell_2[[#Totals],[Period 11]])</calculatedColumnFormula>
    </tableColumn>
    <tableColumn id="14" xr3:uid="{70EBE01E-8733-D34D-9370-571A249EC27B}" name="Period 12" dataDxfId="295">
      <calculatedColumnFormula>SUM(Startkassa_och_intäkter_tabell_2[Period 12],-Betalning_ur_kassa_tabell_2[[#Totals],[Period 12]],Finansierings_tabell_2[[#Totals],[Period 12]])</calculatedColumnFormula>
    </tableColumn>
    <tableColumn id="15" xr3:uid="{5F525243-09C1-DD40-9984-DE5A175EAAEB}" name="Totalt" dataDxfId="294">
      <calculatedColumnFormula>SUM(Betalningsberedskap_tabell_2[[#This Row],[Period 1]:[Period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maksuvalmius kuun lopussa -taulukko"/>
    </ext>
  </extLst>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EBFD3C76-97AD-7840-ABA2-E4FDAD99CF94}" name="Finansierings_tabell_2" displayName="Finansierings_tabell_2" comment="Finansieringen av varje period av det andra året. Amortering pä lån och ägarnas privata uttag är undantagna." ref="A33:N40" totalsRowCount="1" headerRowDxfId="293" dataDxfId="291" totalsRowDxfId="289" headerRowBorderDxfId="292" tableBorderDxfId="290" totalsRowBorderDxfId="288">
  <autoFilter ref="A33:N39" xr:uid="{C922F40D-8C92-8749-908C-49EACF91982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D28A52C2-6CC9-0F4D-A079-984C77EB7621}" name="Finansiering" totalsRowLabel="Finansiering totalt" dataDxfId="287" totalsRowDxfId="286"/>
    <tableColumn id="3" xr3:uid="{55D0E558-8A87-3A4D-8905-47ACBD581051}" name="Period 1" totalsRowFunction="custom" dataDxfId="285" totalsRowDxfId="284">
      <totalsRowFormula>SUM(-B34,B35:B36,-B37,B38:B39)</totalsRowFormula>
    </tableColumn>
    <tableColumn id="4" xr3:uid="{CE0F266B-24B8-9D4A-AD40-0C9EE4269BB0}" name="Period 2" totalsRowFunction="custom" dataDxfId="283" totalsRowDxfId="282">
      <totalsRowFormula>SUM(-C34,C35:C36,-C37,C38:C39)</totalsRowFormula>
    </tableColumn>
    <tableColumn id="5" xr3:uid="{D0904FBC-28D8-0A44-A0CE-E3C704B2A3C1}" name="Period 3" totalsRowFunction="custom" dataDxfId="281" totalsRowDxfId="280">
      <totalsRowFormula>SUM(-D34,D35:D36,-D37,D38:D39)</totalsRowFormula>
    </tableColumn>
    <tableColumn id="6" xr3:uid="{D2A237E6-6E74-F742-8CD3-902B3DBC93A8}" name="Period 4" totalsRowFunction="custom" dataDxfId="279" totalsRowDxfId="278">
      <totalsRowFormula>SUM(-E34,E35:E36,-E37,E38:E39)</totalsRowFormula>
    </tableColumn>
    <tableColumn id="7" xr3:uid="{BF6B7E7F-E6FC-CE4A-946B-BA524C416A22}" name="Period 5" totalsRowFunction="custom" dataDxfId="277" totalsRowDxfId="276">
      <totalsRowFormula>SUM(-F34,F35:F36,-F37,F38:F39)</totalsRowFormula>
    </tableColumn>
    <tableColumn id="8" xr3:uid="{9A20DB66-F48B-B64C-A708-5B3F0C619061}" name="Period 6" totalsRowFunction="custom" dataDxfId="275" totalsRowDxfId="274">
      <totalsRowFormula>SUM(-G34,G35:G36,-G37,G38:G39)</totalsRowFormula>
    </tableColumn>
    <tableColumn id="9" xr3:uid="{40DF4D30-E62E-D243-82F5-0141104F96EE}" name="Period 7" totalsRowFunction="custom" dataDxfId="273" totalsRowDxfId="272">
      <totalsRowFormula>SUM(-H34,H35:H36,-H37,H38:H39)</totalsRowFormula>
    </tableColumn>
    <tableColumn id="10" xr3:uid="{86CA4A65-CBE5-6447-ACD2-A632A276AF34}" name="Period 8" totalsRowFunction="custom" dataDxfId="271" totalsRowDxfId="270">
      <totalsRowFormula>SUM(-I34,I35:I36,-I37,I38:I39)</totalsRowFormula>
    </tableColumn>
    <tableColumn id="11" xr3:uid="{A2E15955-6FA2-0B45-9F18-B82EA8392859}" name="Period 9" totalsRowFunction="custom" dataDxfId="269" totalsRowDxfId="268">
      <totalsRowFormula>SUM(-J34,J35:J36,-J37,J38:J39)</totalsRowFormula>
    </tableColumn>
    <tableColumn id="12" xr3:uid="{E93C7DD0-EE48-0347-A543-62185CE5F0A2}" name="Period 10" totalsRowFunction="custom" dataDxfId="267" totalsRowDxfId="266">
      <totalsRowFormula>SUM(-K34,K35:K36,-K37,K38:K39)</totalsRowFormula>
    </tableColumn>
    <tableColumn id="13" xr3:uid="{9C3214BA-11A8-6847-8DBB-28479EB78480}" name="Period 11" totalsRowFunction="custom" dataDxfId="265" totalsRowDxfId="264">
      <totalsRowFormula>SUM(-L34,L35:L36,-L37,L38:L39)</totalsRowFormula>
    </tableColumn>
    <tableColumn id="14" xr3:uid="{E1729BEB-09E0-9F4E-B0EA-2F7B9F99AE35}" name="Period 12" totalsRowFunction="custom" dataDxfId="263" totalsRowDxfId="262">
      <totalsRowFormula>SUM(-M34,M35:M36,-M37,M38:M39)</totalsRowFormula>
    </tableColumn>
    <tableColumn id="15" xr3:uid="{9FE6A349-7A0F-0C48-B1A5-6820D072B6F2}" name="Totalt" totalsRowFunction="custom" dataDxfId="261" totalsRowDxfId="260">
      <calculatedColumnFormula>SUM(Finansierings_tabell_2[[#This Row],[Period 1]:[Period 12]])</calculatedColumnFormula>
      <totalsRowFormula>SUM(Finansierings_tabell_2[[#Totals],[Period 1]:[Period 12]])</totalsRow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rahoitus -taulukko"/>
    </ext>
  </extLst>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3F4787A9-9921-AF49-8D13-BADD5E2CD57C}" name="Anvisningar_för_kassaflödeskalkyl_2" displayName="Anvisningar_för_kassaflödeskalkyl_2" comment="Instruktioner för kassaflödesberäkning av det andra året." ref="A44:A45" totalsRowShown="0" headerRowDxfId="259" dataDxfId="257" headerRowBorderDxfId="258" tableBorderDxfId="256" totalsRowBorderDxfId="255">
  <autoFilter ref="A44:A45" xr:uid="{FE437FF9-D5FB-684A-AAC0-0E054B3277B7}">
    <filterColumn colId="0" hiddenButton="1"/>
  </autoFilter>
  <tableColumns count="1">
    <tableColumn id="1" xr3:uid="{DA240912-0C0B-0047-8B7C-D5B660F82F2E}" name="Anvisningar för kassaflödeskalkyl:" dataDxfId="254"/>
  </tableColumns>
  <tableStyleInfo name="Helsinki_taulukko_tyyli"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34D4B60-6F36-024C-9309-534468195DD4}" name="Differensen_mellan_penningkällor_och_behovet_av_pengar_tabell" displayName="Differensen_mellan_penningkällor_och_behovet_av_pengar_tabell" comment="Finansieringskalkylens skillnad mellan finansieringskällor och behov av medel. Källorna till medel och behovet av medel måste matcha." ref="A50:C51" totalsRowShown="0" headerRowDxfId="783" dataDxfId="781" headerRowBorderDxfId="782" tableBorderDxfId="780" totalsRowBorderDxfId="779">
  <autoFilter ref="A50:C51" xr:uid="{834D4B60-6F36-024C-9309-534468195DD4}">
    <filterColumn colId="0" hiddenButton="1"/>
    <filterColumn colId="1" hiddenButton="1"/>
    <filterColumn colId="2" hiddenButton="1"/>
  </autoFilter>
  <tableColumns count="3">
    <tableColumn id="1" xr3:uid="{6C1F4597-C08B-F54D-BEA4-E9BEA637A95F}" name="Differensen mellan penningkällor och behovet av pengar" dataDxfId="778"/>
    <tableColumn id="2" xr3:uid="{88E15433-18F2-2047-9342-0B7BB13F9352}" name="€" dataDxfId="777">
      <calculatedColumnFormula>Penningkällor_tabell[[#Totals],[€]]-Behov_av_pengar_tabell[[#Totals],[€]]</calculatedColumnFormula>
    </tableColumn>
    <tableColumn id="3" xr3:uid="{AEF47A0C-2C54-E14A-B15A-2BB59D297C43}" name="Är behovet av pengar lika stort som penningkällan?" dataDxfId="776">
      <calculatedColumnFormula>IF(Differensen_mellan_penningkällor_och_behovet_av_pengar_tabell[[#This Row],[€]]=0,"RÄTT","KONTROLLERA DIN BERÄKNING!")</calculatedColumnFormula>
    </tableColumn>
  </tableColumns>
  <tableStyleInfo name="Helsinki_taulukko_tyyli" showFirstColumn="1" showLastColumn="0" showRowStripes="0" showColumnStripes="0"/>
  <extLst>
    <ext xmlns:x14="http://schemas.microsoft.com/office/spreadsheetml/2009/9/main" uri="{504A1905-F514-4f6f-8877-14C23A59335A}">
      <x14:table altTextSummary="Rahan lähteiden ja rahan tarpeiden erotus -taulukko"/>
    </ext>
  </extLst>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3108C29C-0A29-6340-A2D1-C7265725AC87}" name="Betalning_ur_kassa_moms_tabell_2" displayName="Betalning_ur_kassa_moms_tabell_2" comment="Kontantbetalningarna (inklusive moms) för varje period under det andra året." ref="A18:N21" headerRowDxfId="253" dataDxfId="251" totalsRowDxfId="249" headerRowBorderDxfId="252" tableBorderDxfId="250" totalsRowBorderDxfId="248">
  <autoFilter ref="A18:N21" xr:uid="{A47778E7-A926-1E41-AD64-F4192822B7A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52C83BD2-838B-A948-B945-6E2E9C43B81E}" name="Betalning ur kassa (inklusive moms)" totalsRowLabel="Total" dataDxfId="247" totalsRowDxfId="246"/>
    <tableColumn id="3" xr3:uid="{A09236CD-3417-1A42-AB4F-6BBB397F38A9}" name="Period 1" dataDxfId="245" totalsRowDxfId="244">
      <calculatedColumnFormula>SUM(Startkassa_tabell_2[Period 1],Betalning_till_kassa_tabell_2[[#Totals],[Period 1]])</calculatedColumnFormula>
    </tableColumn>
    <tableColumn id="4" xr3:uid="{4BF68D3E-457A-4548-BC7A-B4968A9B0E7F}" name="Period 2" dataDxfId="243" totalsRowDxfId="242">
      <calculatedColumnFormula>SUM(Startkassa_tabell_2[Period 2],Betalning_till_kassa_tabell_2[[#Totals],[Period 2]])</calculatedColumnFormula>
    </tableColumn>
    <tableColumn id="5" xr3:uid="{CA77AAD2-C730-9C4B-8B26-A95511D590D7}" name="Period 3" dataDxfId="241" totalsRowDxfId="240">
      <calculatedColumnFormula>SUM(Startkassa_tabell_2[Period 3],Betalning_till_kassa_tabell_2[[#Totals],[Period 3]])</calculatedColumnFormula>
    </tableColumn>
    <tableColumn id="6" xr3:uid="{5DD6A0B3-C7D7-6846-A2DD-F3DF87B69DAB}" name="Period 4" dataDxfId="239" totalsRowDxfId="238">
      <calculatedColumnFormula>SUM(Startkassa_tabell_2[Period 4],Betalning_till_kassa_tabell_2[[#Totals],[Period 4]])</calculatedColumnFormula>
    </tableColumn>
    <tableColumn id="7" xr3:uid="{56ABD288-7376-894D-8A56-4785E2CF6846}" name="Period 5" dataDxfId="237" totalsRowDxfId="236">
      <calculatedColumnFormula>SUM(Startkassa_tabell_2[Period 5],Betalning_till_kassa_tabell_2[[#Totals],[Period 5]])</calculatedColumnFormula>
    </tableColumn>
    <tableColumn id="8" xr3:uid="{BBBC3127-47A9-1D41-BFBC-289BD14B1F03}" name="Period 6" dataDxfId="235" totalsRowDxfId="234">
      <calculatedColumnFormula>SUM(Startkassa_tabell_2[Period 6],Betalning_till_kassa_tabell_2[[#Totals],[Period 6]])</calculatedColumnFormula>
    </tableColumn>
    <tableColumn id="9" xr3:uid="{04CEFCD7-5071-6D42-B0D4-476EAA6DDFA4}" name="Period 7" dataDxfId="233" totalsRowDxfId="232">
      <calculatedColumnFormula>SUM(Startkassa_tabell_2[Period 7],Betalning_till_kassa_tabell_2[[#Totals],[Period 7]])</calculatedColumnFormula>
    </tableColumn>
    <tableColumn id="10" xr3:uid="{C96B87DF-36C3-154E-9DEC-AB4DCF02A9C1}" name="Period 8" dataDxfId="231" totalsRowDxfId="230">
      <calculatedColumnFormula>SUM(Startkassa_tabell_2[Period 8],Betalning_till_kassa_tabell_2[[#Totals],[Period 8]])</calculatedColumnFormula>
    </tableColumn>
    <tableColumn id="11" xr3:uid="{EDAFEC45-A8E4-404F-A349-04893D7F22B2}" name="Period 9" dataDxfId="229" totalsRowDxfId="228">
      <calculatedColumnFormula>SUM(Startkassa_tabell_2[Period 9],Betalning_till_kassa_tabell_2[[#Totals],[Period 9]])</calculatedColumnFormula>
    </tableColumn>
    <tableColumn id="12" xr3:uid="{008C408A-7C23-0D43-9873-4A8CB909A119}" name="Period 10" dataDxfId="227" totalsRowDxfId="226">
      <calculatedColumnFormula>SUM(Startkassa_tabell_2[Period 10],Betalning_till_kassa_tabell_2[[#Totals],[Period 10]])</calculatedColumnFormula>
    </tableColumn>
    <tableColumn id="13" xr3:uid="{370F0590-53EB-0242-85B9-76D837683E75}" name="Period 11" dataDxfId="225" totalsRowDxfId="224">
      <calculatedColumnFormula>SUM(Startkassa_tabell_2[Period 11],Betalning_till_kassa_tabell_2[[#Totals],[Period 11]])</calculatedColumnFormula>
    </tableColumn>
    <tableColumn id="14" xr3:uid="{CC69062E-50EF-354B-9AAE-4891D0895D91}" name="Period 12" dataDxfId="223" totalsRowDxfId="222">
      <calculatedColumnFormula>SUM(Startkassa_tabell_2[Period 12],Betalning_till_kassa_tabell_2[[#Totals],[Period 12]])</calculatedColumnFormula>
    </tableColumn>
    <tableColumn id="15" xr3:uid="{E189CF29-33D3-3347-9809-0BCCE37E37B1}" name="Totalt" totalsRowFunction="sum" dataDxfId="221" totalsRowDxfId="220">
      <calculatedColumnFormula>SUM(Betalning_ur_kassa_moms_tabell_2[[#This Row],[Period 1]:[Period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ja tulot -taulukko"/>
    </ext>
  </extLst>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10B84CFB-AD40-D94A-AFC7-DCC7C17C663B}" name="Betalning_till_kassa_tabell_3" displayName="Betalning_till_kassa_tabell_3" comment="Kassakvitton för varje period under det tredje året." ref="A10:N15" headerRowDxfId="219" dataDxfId="217" totalsRowDxfId="215" headerRowBorderDxfId="218" tableBorderDxfId="216" totalsRowBorderDxfId="214">
  <autoFilter ref="A10:N15" xr:uid="{E60A1218-0546-5B4B-AC2C-2B93DEACA6B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4D0E5F56-5937-8D43-ADF5-879789D1A606}" name="Betalning till kassa, det vill säga intäkter" totalsRowLabel="Yhteensä" dataDxfId="213" totalsRowDxfId="212"/>
    <tableColumn id="3" xr3:uid="{06F00A30-0C24-CE41-892F-2054AA6B14DB}" name="Period 1" totalsRowFunction="sum" dataDxfId="211" totalsRowDxfId="210"/>
    <tableColumn id="4" xr3:uid="{295330C1-DD6E-8741-A8A4-D421EC1A501C}" name="Period 2" totalsRowFunction="sum" dataDxfId="209" totalsRowDxfId="208"/>
    <tableColumn id="5" xr3:uid="{23B3D5A4-1899-0E4B-B3F7-71112D75151D}" name="Period 3" totalsRowFunction="sum" dataDxfId="207" totalsRowDxfId="206"/>
    <tableColumn id="6" xr3:uid="{6A7B9AFE-4C0D-B048-A8E7-3B48128FF043}" name="Period 4" totalsRowFunction="sum" dataDxfId="205" totalsRowDxfId="204"/>
    <tableColumn id="7" xr3:uid="{327A6C03-3C07-EC4B-8A0D-DB6A8385BE6B}" name="Period 5" totalsRowFunction="sum" dataDxfId="203" totalsRowDxfId="202"/>
    <tableColumn id="8" xr3:uid="{129BCA0E-88EA-A149-8774-C635D64A53DF}" name="Period 6" totalsRowFunction="sum" dataDxfId="201" totalsRowDxfId="200"/>
    <tableColumn id="9" xr3:uid="{68C4FEBC-9851-8644-80B8-7D55E77D0EC3}" name="Period 7" totalsRowFunction="sum" dataDxfId="199" totalsRowDxfId="198"/>
    <tableColumn id="10" xr3:uid="{27374A15-77A3-AC48-906A-D8D474564CF3}" name="Period 8" totalsRowFunction="sum" dataDxfId="197" totalsRowDxfId="196"/>
    <tableColumn id="11" xr3:uid="{CC3ABEAD-6D6B-894E-BE2D-D668396F3ABD}" name="Period 9" totalsRowFunction="sum" dataDxfId="195" totalsRowDxfId="194"/>
    <tableColumn id="12" xr3:uid="{7E5B29C1-A4D9-9E4A-B841-3C912E790828}" name="Period 10" totalsRowFunction="sum" dataDxfId="193" totalsRowDxfId="192"/>
    <tableColumn id="13" xr3:uid="{363DB0E0-96AE-F94C-B7FB-60095C5105CC}" name="Period 11" totalsRowFunction="sum" dataDxfId="191" totalsRowDxfId="190"/>
    <tableColumn id="14" xr3:uid="{644469F1-7058-0540-BB83-9B64889E5200}" name="Period 12" totalsRowFunction="sum" dataDxfId="189" totalsRowDxfId="188"/>
    <tableColumn id="15" xr3:uid="{358B9A48-244B-DD4D-B890-8AAA28377EC6}" name="Totalt" totalsRowFunction="sum" dataDxfId="187" totalsRowDxfId="186">
      <calculatedColumnFormula>SUM(Betalning_till_kassa_tabell_3[[#This Row],[Period 1]:[Period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kassaanmaksu -taulukko"/>
    </ext>
  </extLst>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3788C509-8C1E-CC4C-B854-4B6E59304D4D}" name="Betalning_ur_kassa_tabell_3" displayName="Betalning_ur_kassa_tabell_3" comment="Kontantbetalningarna (moms 0%) för varje period under det tredje året." ref="A22:N32" totalsRowCount="1" headerRowDxfId="185" dataDxfId="183" totalsRowDxfId="181" headerRowBorderDxfId="184" tableBorderDxfId="182" totalsRowBorderDxfId="180">
  <autoFilter ref="A22:N31" xr:uid="{D9711FDB-A19A-7741-A748-BA2445773EA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FB469638-8B94-774C-A39C-50B2E7D0CF1D}" name="Betalning ur kassa (moms 0 %)" totalsRowLabel="Betalning ur kassa totalt" dataDxfId="179" totalsRowDxfId="178"/>
    <tableColumn id="3" xr3:uid="{AAEE02B7-8748-F847-9D1C-6CA1DF54B175}" name="Period 1" totalsRowFunction="custom" dataDxfId="177" totalsRowDxfId="176">
      <totalsRowFormula>SUM(Betalning_ur_kassa_tabell_3[Period 1],B19,B21)</totalsRowFormula>
    </tableColumn>
    <tableColumn id="4" xr3:uid="{EDBA2AC8-BDC6-A048-8E80-895872F4AE01}" name="Period 2" totalsRowFunction="custom" dataDxfId="175" totalsRowDxfId="174">
      <totalsRowFormula>SUM(Betalning_ur_kassa_tabell_3[Period 2],C19,C21)</totalsRowFormula>
    </tableColumn>
    <tableColumn id="5" xr3:uid="{5C34637F-C507-EB4F-8FE3-0426089F8B1A}" name="Period 3" totalsRowFunction="custom" dataDxfId="173" totalsRowDxfId="172">
      <totalsRowFormula>SUM(Betalning_ur_kassa_tabell_3[Period 3],D19,D21)</totalsRowFormula>
    </tableColumn>
    <tableColumn id="6" xr3:uid="{709AAEFC-D809-3E4C-ACD7-172B5D0444C5}" name="Period 4" totalsRowFunction="custom" dataDxfId="171" totalsRowDxfId="170">
      <totalsRowFormula>SUM(Betalning_ur_kassa_tabell_3[Period 4],E19,E21)</totalsRowFormula>
    </tableColumn>
    <tableColumn id="7" xr3:uid="{E285BF77-98F7-7D4B-8161-B58778069245}" name="Period 5" totalsRowFunction="custom" dataDxfId="169" totalsRowDxfId="168">
      <totalsRowFormula>SUM(Betalning_ur_kassa_tabell_3[Period 5],F19,F21)</totalsRowFormula>
    </tableColumn>
    <tableColumn id="8" xr3:uid="{EA54AB74-9E3C-2A4D-9385-6A39AD1F3E1F}" name="Period 6" totalsRowFunction="custom" dataDxfId="167" totalsRowDxfId="166">
      <totalsRowFormula>SUM(Betalning_ur_kassa_tabell_3[Period 6],G19,G21)</totalsRowFormula>
    </tableColumn>
    <tableColumn id="9" xr3:uid="{ED9853D9-6471-A347-B27E-CCB8B704DF83}" name="Period 7" totalsRowFunction="custom" dataDxfId="165" totalsRowDxfId="164">
      <totalsRowFormula>SUM(Betalning_ur_kassa_tabell_3[Period 7],H19,H21)</totalsRowFormula>
    </tableColumn>
    <tableColumn id="10" xr3:uid="{9E0E5EC5-711E-964E-86E0-6011B81BB9E6}" name="Period 8" totalsRowFunction="custom" dataDxfId="163" totalsRowDxfId="162">
      <totalsRowFormula>SUM(Betalning_ur_kassa_tabell_3[Period 8],I19,I21)</totalsRowFormula>
    </tableColumn>
    <tableColumn id="11" xr3:uid="{83433ACB-4425-E74D-8AF6-DA9A417852ED}" name="Period 9" totalsRowFunction="custom" dataDxfId="161" totalsRowDxfId="160">
      <totalsRowFormula>SUM(Betalning_ur_kassa_tabell_3[Period 9],J19,J21)</totalsRowFormula>
    </tableColumn>
    <tableColumn id="12" xr3:uid="{1CC892DE-07D7-3142-BA3B-3705275D8BA9}" name="Period 10" totalsRowFunction="custom" dataDxfId="159" totalsRowDxfId="158">
      <totalsRowFormula>SUM(Betalning_ur_kassa_tabell_3[Period 10],K19,K21)</totalsRowFormula>
    </tableColumn>
    <tableColumn id="13" xr3:uid="{775CA5CC-B533-3944-B37A-436527A62E03}" name="Period 11" totalsRowFunction="custom" dataDxfId="157" totalsRowDxfId="156">
      <totalsRowFormula>SUM(Betalning_ur_kassa_tabell_3[Period 11],L19,L21)</totalsRowFormula>
    </tableColumn>
    <tableColumn id="14" xr3:uid="{4764B4DA-262C-3E4B-88CB-D0B0BCF0B8CB}" name="Period 12" totalsRowFunction="custom" dataDxfId="155" totalsRowDxfId="154">
      <totalsRowFormula>SUM(Betalning_ur_kassa_tabell_3[Period 12],M19,M21)</totalsRowFormula>
    </tableColumn>
    <tableColumn id="15" xr3:uid="{B32A6E04-9C68-B746-8E5A-DCADB8BEA43C}" name="Totalt" totalsRowFunction="custom" dataDxfId="153" totalsRowDxfId="152">
      <calculatedColumnFormula>SUM(Betalning_ur_kassa_tabell_3[[#This Row],[Period 1]:[Period 12]])</calculatedColumnFormula>
      <totalsRowFormula>SUM(Betalning_ur_kassa_tabell_3[[#Totals],[Period 1]:[Period 12]])</totalsRow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kassastamaksu -taulukko"/>
    </ext>
  </extLst>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A50BEDF1-661B-A147-AAAB-9946952F753F}" name="Startkassa_tabell_3" displayName="Startkassa_tabell_3" comment="Kassakvitton för varje period under det tredje året." ref="A8:N9" headerRowDxfId="151" dataDxfId="149" totalsRowDxfId="147" headerRowBorderDxfId="150" tableBorderDxfId="148" totalsRowBorderDxfId="146">
  <autoFilter ref="A8:N9" xr:uid="{E859B1C7-FD8F-A44C-B13C-88F30BFD3BA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F958AB5B-BBB7-9743-92F0-0AF5C2B5DB55}" name="Startkassa, det vill säga likvida medel i början av perioden" totalsRowLabel="Total" dataDxfId="145"/>
    <tableColumn id="3" xr3:uid="{DDD10F66-4501-1D49-87A3-482715A1960B}" name="Period 1" dataDxfId="144">
      <calculatedColumnFormula>Kassaflödeskalkyl2å!M42</calculatedColumnFormula>
    </tableColumn>
    <tableColumn id="4" xr3:uid="{0E105097-07D3-5540-8059-D966C5B7063F}" name="Period 2" dataDxfId="143">
      <calculatedColumnFormula>B42</calculatedColumnFormula>
    </tableColumn>
    <tableColumn id="5" xr3:uid="{737DA558-789B-7740-AC8B-F16381E7228E}" name="Period 3" dataDxfId="142">
      <calculatedColumnFormula>C42</calculatedColumnFormula>
    </tableColumn>
    <tableColumn id="6" xr3:uid="{14075A6C-8EC5-364C-B988-7353C3A609CC}" name="Period 4" dataDxfId="141">
      <calculatedColumnFormula>D42</calculatedColumnFormula>
    </tableColumn>
    <tableColumn id="7" xr3:uid="{F95A1D11-4D16-E643-833E-F24C498E767E}" name="Period 5" dataDxfId="140">
      <calculatedColumnFormula>E42</calculatedColumnFormula>
    </tableColumn>
    <tableColumn id="8" xr3:uid="{AB94ACA3-2158-0240-A72F-D1EA535ECC4B}" name="Period 6" dataDxfId="139">
      <calculatedColumnFormula>F42</calculatedColumnFormula>
    </tableColumn>
    <tableColumn id="9" xr3:uid="{54DCFC00-C07C-3744-9AFD-2D047A8E616B}" name="Period 7" dataDxfId="138">
      <calculatedColumnFormula>G42</calculatedColumnFormula>
    </tableColumn>
    <tableColumn id="10" xr3:uid="{267406CC-A145-A943-946C-A5EFA0702D44}" name="Period 8" dataDxfId="137">
      <calculatedColumnFormula>H42</calculatedColumnFormula>
    </tableColumn>
    <tableColumn id="11" xr3:uid="{94F4C7F6-2AFA-B44C-B776-35F073CF2599}" name="Period 9" dataDxfId="136">
      <calculatedColumnFormula>I42</calculatedColumnFormula>
    </tableColumn>
    <tableColumn id="12" xr3:uid="{B5728C11-280A-ED45-8F84-24E21308491F}" name="Period 10" dataDxfId="135">
      <calculatedColumnFormula>J42</calculatedColumnFormula>
    </tableColumn>
    <tableColumn id="13" xr3:uid="{27AAE0C3-FA8A-B449-8BE5-6490352D791D}" name="Period 11" dataDxfId="134">
      <calculatedColumnFormula>K42</calculatedColumnFormula>
    </tableColumn>
    <tableColumn id="14" xr3:uid="{58A99DB0-975D-DB42-8283-B7734894FC13}" name="Period 12" dataDxfId="133">
      <calculatedColumnFormula>L42</calculatedColumnFormula>
    </tableColumn>
    <tableColumn id="15" xr3:uid="{71A89A51-E5C1-8240-8B4C-75C8ADC80537}" name="Totalt" totalsRowFunction="sum" dataDxfId="132"/>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taulukko"/>
    </ext>
  </extLst>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E35653FA-C418-294E-833A-93058592ADD4}" name="Startkassa_och_intäkter_tabell_3" displayName="Startkassa_och_intäkter_tabell_3" comment="Ingående balans och intäkter för varje period under det tredje året." ref="A16:N17" headerRowDxfId="131" dataDxfId="129" totalsRowDxfId="127" headerRowBorderDxfId="130" tableBorderDxfId="128" totalsRowBorderDxfId="126">
  <autoFilter ref="A16:N17" xr:uid="{CA23FAC7-F6C9-C84C-96AE-3DE9DA5CF41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F00678DC-1833-A041-9DD3-F8C18439DEF5}" name="Startkassa och intäkter" totalsRowLabel="Total" dataDxfId="125" totalsRowDxfId="124"/>
    <tableColumn id="3" xr3:uid="{1B2E2BE2-5918-FC4D-9C06-B492122650FB}" name="Period 1" dataDxfId="123" totalsRowDxfId="122">
      <calculatedColumnFormula>SUM(Startkassa_tabell_3[Period 1],B15)</calculatedColumnFormula>
    </tableColumn>
    <tableColumn id="4" xr3:uid="{C8266F26-3AFB-E44F-8D20-7603A5276EB8}" name="Period 2" dataDxfId="121" totalsRowDxfId="120">
      <calculatedColumnFormula>SUM(Startkassa_tabell_3[Period 2],C15)</calculatedColumnFormula>
    </tableColumn>
    <tableColumn id="5" xr3:uid="{1710C0FD-C9D6-A04C-86B1-B5EFB784C14E}" name="Period 3" dataDxfId="119" totalsRowDxfId="118">
      <calculatedColumnFormula>SUM(Startkassa_tabell_3[Period 3],D15)</calculatedColumnFormula>
    </tableColumn>
    <tableColumn id="6" xr3:uid="{C658C9C7-C142-984E-B512-00023D415DE2}" name="Period 4" dataDxfId="117" totalsRowDxfId="116">
      <calculatedColumnFormula>SUM(Startkassa_tabell_3[Period 4],E15)</calculatedColumnFormula>
    </tableColumn>
    <tableColumn id="7" xr3:uid="{4A5749EF-A539-E644-A1BF-780FB8435690}" name="Period 5" dataDxfId="115" totalsRowDxfId="114">
      <calculatedColumnFormula>SUM(Startkassa_tabell_3[Period 5],F15)</calculatedColumnFormula>
    </tableColumn>
    <tableColumn id="8" xr3:uid="{830C6568-49BF-C743-A7A3-7DCF0ABDD663}" name="Period 6" dataDxfId="113" totalsRowDxfId="112">
      <calculatedColumnFormula>SUM(Startkassa_tabell_3[Period 6],G15)</calculatedColumnFormula>
    </tableColumn>
    <tableColumn id="9" xr3:uid="{B28E2570-2548-BB48-A817-05AA52E8C6C4}" name="Period 7" dataDxfId="111" totalsRowDxfId="110">
      <calculatedColumnFormula>SUM(Startkassa_tabell_3[Period 7],H15)</calculatedColumnFormula>
    </tableColumn>
    <tableColumn id="10" xr3:uid="{0EE84D6E-9159-F543-ACD9-AA5D7D7D8345}" name="Period 8" dataDxfId="109" totalsRowDxfId="108">
      <calculatedColumnFormula>SUM(Startkassa_tabell_3[Period 8],I15)</calculatedColumnFormula>
    </tableColumn>
    <tableColumn id="11" xr3:uid="{115D0A0A-464B-D64B-A087-F4225CDB45C2}" name="Period 9" dataDxfId="107" totalsRowDxfId="106">
      <calculatedColumnFormula>SUM(Startkassa_tabell_3[Period 9],J15)</calculatedColumnFormula>
    </tableColumn>
    <tableColumn id="12" xr3:uid="{B68A22B7-AA8D-064F-9EC7-EA340B4041BC}" name="Period 10" dataDxfId="105" totalsRowDxfId="104">
      <calculatedColumnFormula>SUM(Startkassa_tabell_3[Period 10],K15)</calculatedColumnFormula>
    </tableColumn>
    <tableColumn id="13" xr3:uid="{38952024-4C05-2945-8686-1FE39375B81B}" name="Period 11" dataDxfId="103" totalsRowDxfId="102">
      <calculatedColumnFormula>SUM(Startkassa_tabell_3[Period 11],L15)</calculatedColumnFormula>
    </tableColumn>
    <tableColumn id="14" xr3:uid="{E16119D7-A39E-814D-870E-C5D9219F9F87}" name="Period 12" dataDxfId="101" totalsRowDxfId="100">
      <calculatedColumnFormula>SUM(Startkassa_tabell_3[Period 12],M15)</calculatedColumnFormula>
    </tableColumn>
    <tableColumn id="15" xr3:uid="{3A545AC6-4DBE-4F4D-8DB5-6321AB64B3AC}" name="Totalt" totalsRowFunction="sum" dataDxfId="99" totalsRowDxfId="98"/>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ja tulot -taulukko"/>
    </ext>
  </extLst>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8AC07260-3F61-D841-9BEA-69C4BF149FE5}" name="Betalningsberedskap_tabell_3" displayName="Betalningsberedskap_tabell_3" comment="Summan av ingående balans, intäkter och finansiering för varje period av det tredje året." ref="A41:N43" totalsRowShown="0" headerRowDxfId="97" dataDxfId="95" headerRowBorderDxfId="96" tableBorderDxfId="94" totalsRowBorderDxfId="93">
  <autoFilter ref="A41:N43" xr:uid="{C7E86B2D-0B2E-D645-BA90-973ABE71AAE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B190F260-1A6C-DC4C-BD46-F534391EDF91}" name="Betalningsberedskap (i slutet av månaden)" dataDxfId="92"/>
    <tableColumn id="3" xr3:uid="{E3D9386A-661A-D14A-95E7-165AF2D9FB7A}" name="Period 1" dataDxfId="91">
      <calculatedColumnFormula>SUM(Startkassa_och_intäkter_tabell_3[Period 1],-Betalning_ur_kassa_tabell_3[[#Totals],[Period 1]],Finansierings_tabell_3[[#Totals],[Period 1]])</calculatedColumnFormula>
    </tableColumn>
    <tableColumn id="4" xr3:uid="{C8E682DC-3B3E-F049-AF9B-7135D5E69C6A}" name="Period 2" dataDxfId="90">
      <calculatedColumnFormula>SUM(Startkassa_och_intäkter_tabell_3[Period 2],-Betalning_ur_kassa_tabell_3[[#Totals],[Period 2]],Finansierings_tabell_3[[#Totals],[Period 2]])</calculatedColumnFormula>
    </tableColumn>
    <tableColumn id="5" xr3:uid="{446A992A-A5EB-0043-BC00-3A592089232C}" name="Period 3" dataDxfId="89">
      <calculatedColumnFormula>SUM(Startkassa_och_intäkter_tabell_3[Period 3],-Betalning_ur_kassa_tabell_3[[#Totals],[Period 3]],Finansierings_tabell_3[[#Totals],[Period 3]])</calculatedColumnFormula>
    </tableColumn>
    <tableColumn id="6" xr3:uid="{DCDACCA6-7B6A-3B48-A9F2-B22F422C85EB}" name="Period 4" dataDxfId="88">
      <calculatedColumnFormula>SUM(Startkassa_och_intäkter_tabell_3[Period 4],-Betalning_ur_kassa_tabell_3[[#Totals],[Period 4]],Finansierings_tabell_3[[#Totals],[Period 4]])</calculatedColumnFormula>
    </tableColumn>
    <tableColumn id="7" xr3:uid="{19B9FE74-459D-9344-BA79-8410126125C3}" name="Period 5" dataDxfId="87">
      <calculatedColumnFormula>SUM(Startkassa_och_intäkter_tabell_3[Period 5],-Betalning_ur_kassa_tabell_3[[#Totals],[Period 5]],Finansierings_tabell_3[[#Totals],[Period 5]])</calculatedColumnFormula>
    </tableColumn>
    <tableColumn id="8" xr3:uid="{320D60E5-2F38-6C42-A8BB-035024255131}" name="Period 6" dataDxfId="86">
      <calculatedColumnFormula>SUM(Startkassa_och_intäkter_tabell_3[Period 6],-Betalning_ur_kassa_tabell_3[[#Totals],[Period 6]],Finansierings_tabell_3[[#Totals],[Period 6]])</calculatedColumnFormula>
    </tableColumn>
    <tableColumn id="9" xr3:uid="{7FACDEA1-1E71-A742-AF42-3A360B369E33}" name="Period 7" dataDxfId="85">
      <calculatedColumnFormula>SUM(Startkassa_och_intäkter_tabell_3[Period 7],-Betalning_ur_kassa_tabell_3[[#Totals],[Period 7]],Finansierings_tabell_3[[#Totals],[Period 7]])</calculatedColumnFormula>
    </tableColumn>
    <tableColumn id="10" xr3:uid="{1EE97AAF-1200-B649-9020-F3138C9BA8B0}" name="Period 8" dataDxfId="84">
      <calculatedColumnFormula>SUM(Startkassa_och_intäkter_tabell_3[Period 8],-Betalning_ur_kassa_tabell_3[[#Totals],[Period 8]],Finansierings_tabell_3[[#Totals],[Period 8]])</calculatedColumnFormula>
    </tableColumn>
    <tableColumn id="11" xr3:uid="{C03B7567-6D9C-4145-80E5-5478496DBB92}" name="Period 9" dataDxfId="83">
      <calculatedColumnFormula>SUM(Startkassa_och_intäkter_tabell_3[Period 9],-Betalning_ur_kassa_tabell_3[[#Totals],[Period 9]],Finansierings_tabell_3[[#Totals],[Period 9]])</calculatedColumnFormula>
    </tableColumn>
    <tableColumn id="12" xr3:uid="{2303C661-2A71-7E4B-89DA-5DB755E296AA}" name="Period 10" dataDxfId="82">
      <calculatedColumnFormula>SUM(Startkassa_och_intäkter_tabell_3[Period 10],-Betalning_ur_kassa_tabell_3[[#Totals],[Period 10]],Finansierings_tabell_3[[#Totals],[Period 10]])</calculatedColumnFormula>
    </tableColumn>
    <tableColumn id="13" xr3:uid="{13409E46-A3E6-EB4F-9FC5-532B8629C273}" name="Period 11" dataDxfId="81">
      <calculatedColumnFormula>SUM(Startkassa_och_intäkter_tabell_3[Period 11],-Betalning_ur_kassa_tabell_3[[#Totals],[Period 11]],Finansierings_tabell_3[[#Totals],[Period 11]])</calculatedColumnFormula>
    </tableColumn>
    <tableColumn id="14" xr3:uid="{8968D2E0-144E-694A-A4EE-26FB33CDD74A}" name="Period 12" dataDxfId="80">
      <calculatedColumnFormula>SUM(Startkassa_och_intäkter_tabell_3[Period 12],-Betalning_ur_kassa_tabell_3[[#Totals],[Period 12]],Finansierings_tabell_3[[#Totals],[Period 12]])</calculatedColumnFormula>
    </tableColumn>
    <tableColumn id="15" xr3:uid="{F2395275-9132-6140-87EE-4B1B58FB3F90}" name="Totalt" dataDxfId="79">
      <calculatedColumnFormula>SUM(Betalningsberedskap_tabell_3[[#This Row],[Period 1]:[Period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maksuvalmius kuun lopussa -taulukko"/>
    </ext>
  </extLst>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FF451F4E-5B49-4C45-80D6-89C0035369A8}" name="Finansierings_tabell_3" displayName="Finansierings_tabell_3" comment="Finansieringen av varje period av det tredje året. Amortering pä lån och ägarnas privata uttag är undantagna." ref="A33:N40" totalsRowCount="1" headerRowDxfId="78" dataDxfId="76" totalsRowDxfId="74" headerRowBorderDxfId="77" tableBorderDxfId="75" totalsRowBorderDxfId="73">
  <autoFilter ref="A33:N39" xr:uid="{C922F40D-8C92-8749-908C-49EACF91982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A73D5BA-7347-674D-BD7D-324CB2E88636}" name="Finansiering" totalsRowLabel="Finansiering totalt" dataDxfId="72" totalsRowDxfId="71"/>
    <tableColumn id="3" xr3:uid="{E87FE6AB-1330-1441-9F27-4F314E13DD46}" name="Period 1" totalsRowFunction="custom" dataDxfId="70" totalsRowDxfId="69">
      <totalsRowFormula>SUM(-B34,B35:B36,-B37,B38:B39)</totalsRowFormula>
    </tableColumn>
    <tableColumn id="4" xr3:uid="{2E110CDC-E9F4-2844-97A4-EE7509FDF13F}" name="Period 2" totalsRowFunction="custom" dataDxfId="68" totalsRowDxfId="67">
      <totalsRowFormula>SUM(-C34,C35:C36,-C37,C38:C39)</totalsRowFormula>
    </tableColumn>
    <tableColumn id="5" xr3:uid="{6CF6CF01-BA97-6446-9152-DFDF2A585BDB}" name="Period 3" totalsRowFunction="custom" dataDxfId="66" totalsRowDxfId="65">
      <totalsRowFormula>SUM(-D34,D35:D36,-D37,D38:D39)</totalsRowFormula>
    </tableColumn>
    <tableColumn id="6" xr3:uid="{68E1963D-2D4B-954F-B077-B7CFFC79C0E7}" name="Period 4" totalsRowFunction="custom" dataDxfId="64" totalsRowDxfId="63">
      <totalsRowFormula>SUM(-E34,E35:E36,-E37,E38:E39)</totalsRowFormula>
    </tableColumn>
    <tableColumn id="7" xr3:uid="{B1585624-FBEE-224F-9BD4-6F761E9DE55C}" name="Period 5" totalsRowFunction="custom" dataDxfId="62" totalsRowDxfId="61">
      <totalsRowFormula>SUM(-F34,F35:F36,-F37,F38:F39)</totalsRowFormula>
    </tableColumn>
    <tableColumn id="8" xr3:uid="{086C9EF4-619E-EA40-A2E5-1AC9386D5D80}" name="Period 6" totalsRowFunction="custom" dataDxfId="60" totalsRowDxfId="59">
      <totalsRowFormula>SUM(-G34,G35:G36,-G37,G38:G39)</totalsRowFormula>
    </tableColumn>
    <tableColumn id="9" xr3:uid="{E12FCE94-8666-E74B-8C04-988F41810D90}" name="Period 7" totalsRowFunction="custom" dataDxfId="58" totalsRowDxfId="57">
      <totalsRowFormula>SUM(-H34,H35:H36,-H37,H38:H39)</totalsRowFormula>
    </tableColumn>
    <tableColumn id="10" xr3:uid="{A0076D76-AC18-964E-8BC7-EA90529EA00B}" name="Period 8" totalsRowFunction="custom" dataDxfId="56" totalsRowDxfId="55">
      <totalsRowFormula>SUM(-I34,I35:I36,-I37,I38:I39)</totalsRowFormula>
    </tableColumn>
    <tableColumn id="11" xr3:uid="{36715B1F-4768-DF49-B43D-3938C839DE1B}" name="Period 9" totalsRowFunction="custom" dataDxfId="54" totalsRowDxfId="53">
      <totalsRowFormula>SUM(-J34,J35:J36,-J37,J38:J39)</totalsRowFormula>
    </tableColumn>
    <tableColumn id="12" xr3:uid="{E2B7D5B7-1EAA-5E47-9047-7A081339E446}" name="Period 10" totalsRowFunction="custom" dataDxfId="52" totalsRowDxfId="51">
      <totalsRowFormula>SUM(-K34,K35:K36,-K37,K38:K39)</totalsRowFormula>
    </tableColumn>
    <tableColumn id="13" xr3:uid="{FE3B3787-075F-204D-9A0E-B4185C6B0344}" name="Period 11" totalsRowFunction="custom" dataDxfId="50" totalsRowDxfId="49">
      <totalsRowFormula>SUM(-L34,L35:L36,-L37,L38:L39)</totalsRowFormula>
    </tableColumn>
    <tableColumn id="14" xr3:uid="{98FCA6D6-044B-164A-A89F-CCD7FBC066C1}" name="Period 12" totalsRowFunction="custom" dataDxfId="48" totalsRowDxfId="47">
      <totalsRowFormula>SUM(-M34,M35:M36,-M37,M38:M39)</totalsRowFormula>
    </tableColumn>
    <tableColumn id="15" xr3:uid="{328667F5-BFD6-D948-BB7E-EAC04ACC69F9}" name="Totalt" totalsRowFunction="custom" dataDxfId="46" totalsRowDxfId="45">
      <calculatedColumnFormula>SUM(Finansierings_tabell_3[[#This Row],[Period 1]:[Period 12]])</calculatedColumnFormula>
      <totalsRowFormula>SUM(Finansierings_tabell_3[[#Totals],[Period 1]:[Period 12]])</totalsRow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rahoitus -taulukko"/>
    </ext>
  </extLst>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455B1C88-0D35-DB45-BBDC-E5804FA67934}" name="Anvisningar_för_kassaflödeskalkyl_3" displayName="Anvisningar_för_kassaflödeskalkyl_3" comment="Instruktioner för kassaflödesberäkning av det tredje året." ref="A44:A45" totalsRowShown="0" headerRowDxfId="44" dataDxfId="42" headerRowBorderDxfId="43" tableBorderDxfId="41" totalsRowBorderDxfId="40">
  <autoFilter ref="A44:A45" xr:uid="{FE437FF9-D5FB-684A-AAC0-0E054B3277B7}">
    <filterColumn colId="0" hiddenButton="1"/>
  </autoFilter>
  <tableColumns count="1">
    <tableColumn id="1" xr3:uid="{02F321C1-79E9-0042-9F89-819CA099A9B1}" name="Anvisningar för kassaflödeskalkyl:" dataDxfId="39"/>
  </tableColumns>
  <tableStyleInfo name="Helsinki_taulukko_tyyli" showFirstColumn="0" showLastColumn="0" showRowStripes="0"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90791932-5F80-C545-A120-E3AD767B5368}" name="Betalning_ur_kassa_moms_tabell_3" displayName="Betalning_ur_kassa_moms_tabell_3" comment="Kontantbetalningarna (inklusive moms) för varje period under det tredje året." ref="A18:N21" headerRowDxfId="38" dataDxfId="36" totalsRowDxfId="34" headerRowBorderDxfId="37" tableBorderDxfId="35" totalsRowBorderDxfId="33">
  <autoFilter ref="A18:N21" xr:uid="{A47778E7-A926-1E41-AD64-F4192822B7A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FA261B0A-AD85-4D44-962F-2105710978B6}" name="Betalning ur kassa (inklusive moms)" totalsRowLabel="Total" dataDxfId="32" totalsRowDxfId="31"/>
    <tableColumn id="3" xr3:uid="{F39AF6C5-84DD-1E49-97AC-FD2EFA38B17B}" name="Period 1" dataDxfId="30" totalsRowDxfId="29">
      <calculatedColumnFormula>SUM(Startkassa_tabell_3[Period 1],Betalning_till_kassa_tabell_3[[#Totals],[Period 1]])</calculatedColumnFormula>
    </tableColumn>
    <tableColumn id="4" xr3:uid="{1743D77F-9675-1B48-856D-B9B1345225E2}" name="Period 2" dataDxfId="28" totalsRowDxfId="27">
      <calculatedColumnFormula>SUM(Startkassa_tabell_3[Period 2],Betalning_till_kassa_tabell_3[[#Totals],[Period 2]])</calculatedColumnFormula>
    </tableColumn>
    <tableColumn id="5" xr3:uid="{8C2AC284-2F43-0B44-BF85-704FF421973D}" name="Period 3" dataDxfId="26" totalsRowDxfId="25">
      <calculatedColumnFormula>SUM(Startkassa_tabell_3[Period 3],Betalning_till_kassa_tabell_3[[#Totals],[Period 3]])</calculatedColumnFormula>
    </tableColumn>
    <tableColumn id="6" xr3:uid="{543C54D1-3265-ED48-916B-23FDB3932FD2}" name="Period 4" dataDxfId="24" totalsRowDxfId="23">
      <calculatedColumnFormula>SUM(Startkassa_tabell_3[Period 4],Betalning_till_kassa_tabell_3[[#Totals],[Period 4]])</calculatedColumnFormula>
    </tableColumn>
    <tableColumn id="7" xr3:uid="{1B5D4374-9914-D545-8306-5B6049F8FC71}" name="Period 5" dataDxfId="22" totalsRowDxfId="21">
      <calculatedColumnFormula>SUM(Startkassa_tabell_3[Period 5],Betalning_till_kassa_tabell_3[[#Totals],[Period 5]])</calculatedColumnFormula>
    </tableColumn>
    <tableColumn id="8" xr3:uid="{05E971C1-E3CC-A549-BACF-A01B4C04D0B3}" name="Period 6" dataDxfId="20" totalsRowDxfId="19">
      <calculatedColumnFormula>SUM(Startkassa_tabell_3[Period 6],Betalning_till_kassa_tabell_3[[#Totals],[Period 6]])</calculatedColumnFormula>
    </tableColumn>
    <tableColumn id="9" xr3:uid="{AFCFB52A-B72D-514F-9A4F-3E3CFB8FDC84}" name="Period 7" dataDxfId="18" totalsRowDxfId="17">
      <calculatedColumnFormula>SUM(Startkassa_tabell_3[Period 7],Betalning_till_kassa_tabell_3[[#Totals],[Period 7]])</calculatedColumnFormula>
    </tableColumn>
    <tableColumn id="10" xr3:uid="{1F351567-437E-7F4C-A2C5-41A727BC6643}" name="Period 8" dataDxfId="16" totalsRowDxfId="15">
      <calculatedColumnFormula>SUM(Startkassa_tabell_3[Period 8],Betalning_till_kassa_tabell_3[[#Totals],[Period 8]])</calculatedColumnFormula>
    </tableColumn>
    <tableColumn id="11" xr3:uid="{4D291E9F-90F2-FE4B-9BEC-AD54B465A51D}" name="Period 9" dataDxfId="14" totalsRowDxfId="13">
      <calculatedColumnFormula>SUM(Startkassa_tabell_3[Period 9],Betalning_till_kassa_tabell_3[[#Totals],[Period 9]])</calculatedColumnFormula>
    </tableColumn>
    <tableColumn id="12" xr3:uid="{55886F8C-446E-204E-B58C-1A2338CD1F40}" name="Period 10" dataDxfId="12" totalsRowDxfId="11">
      <calculatedColumnFormula>SUM(Startkassa_tabell_3[Period 10],Betalning_till_kassa_tabell_3[[#Totals],[Period 10]])</calculatedColumnFormula>
    </tableColumn>
    <tableColumn id="13" xr3:uid="{CFBAC12C-1E40-3548-8C89-C654CB310A75}" name="Period 11" dataDxfId="10" totalsRowDxfId="9">
      <calculatedColumnFormula>SUM(Startkassa_tabell_3[Period 11],Betalning_till_kassa_tabell_3[[#Totals],[Period 11]])</calculatedColumnFormula>
    </tableColumn>
    <tableColumn id="14" xr3:uid="{1D47247D-A192-964C-97B4-2DF82B913844}" name="Period 12" dataDxfId="8" totalsRowDxfId="7">
      <calculatedColumnFormula>SUM(Startkassa_tabell_3[Period 12],Betalning_till_kassa_tabell_3[[#Totals],[Period 12]])</calculatedColumnFormula>
    </tableColumn>
    <tableColumn id="15" xr3:uid="{3C3F7111-D7F5-CA48-A6E4-3544478A76F6}" name="Totalt" totalsRowFunction="sum" dataDxfId="6" totalsRowDxfId="5">
      <calculatedColumnFormula>SUM(Betalning_ur_kassa_moms_tabell_3[[#This Row],[Period 1]:[Period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ja tulot -taulukko"/>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E9CADB9C-2D88-C040-AB64-993877FEAF60}" name="Anvisningar_för_finansieringskalkylen" displayName="Anvisningar_för_finansieringskalkylen" comment="Mer detaljerade instruktioner för hur du fyller vissa celler på finansieringskalkylfliken." ref="A52:A57" totalsRowShown="0" headerRowDxfId="775" dataDxfId="773" headerRowBorderDxfId="774" tableBorderDxfId="772" totalsRowBorderDxfId="771">
  <autoFilter ref="A52:A57" xr:uid="{E9CADB9C-2D88-C040-AB64-993877FEAF60}">
    <filterColumn colId="0" hiddenButton="1"/>
  </autoFilter>
  <tableColumns count="1">
    <tableColumn id="1" xr3:uid="{CD47B5DC-F828-8B4F-B14E-709E3AAA8919}" name="Anvisningar för finansieringskalkylen:" dataDxfId="770"/>
  </tableColumns>
  <tableStyleInfo name="Helsinki_taulukko_tyyli" showFirstColumn="0" showLastColumn="0" showRowStripes="0" showColumnStripes="0"/>
  <extLst>
    <ext xmlns:x14="http://schemas.microsoft.com/office/spreadsheetml/2009/9/main" uri="{504A1905-F514-4f6f-8877-14C23A59335A}">
      <x14:table altTextSummary="Ohjeet rahoituslaskelmaan"/>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7A6FCE55-5C35-C643-A504-45F92E979C29}" name="Målresultat_tabell" displayName="Målresultat_tabell" comment="Lönsamhetskalkylens målinkomst per månad och år." ref="A5:C12" headerRowDxfId="769" dataDxfId="767" totalsRowDxfId="765" headerRowBorderDxfId="768" tableBorderDxfId="766" totalsRowBorderDxfId="764">
  <autoFilter ref="A5:C12" xr:uid="{7A6FCE55-5C35-C643-A504-45F92E979C29}">
    <filterColumn colId="0" hiddenButton="1"/>
    <filterColumn colId="1" hiddenButton="1"/>
    <filterColumn colId="2" hiddenButton="1"/>
  </autoFilter>
  <tableColumns count="3">
    <tableColumn id="1" xr3:uid="{38C68C15-9D64-E144-90AB-284B3348943A}" name="Målresultat" totalsRowLabel="Total" dataDxfId="763"/>
    <tableColumn id="4" xr3:uid="{5653B8D0-2C66-A649-9C32-FD76156654D6}" name="I månaden" dataDxfId="762"/>
    <tableColumn id="5" xr3:uid="{6B8801B9-C3EC-DE4D-9978-02D5021D89DF}" name="I året (12 mån.)" totalsRowFunction="sum" dataDxfId="761"/>
  </tableColumns>
  <tableStyleInfo name="Helsinki_taulukko_tyyli" showFirstColumn="1" showLastColumn="0" showRowStripes="0" showColumnStripes="0"/>
  <extLst>
    <ext xmlns:x14="http://schemas.microsoft.com/office/spreadsheetml/2009/9/main" uri="{504A1905-F514-4f6f-8877-14C23A59335A}">
      <x14:table altTextSummary="Tavoitetulos -taulukko"/>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FCBC8DE5-4FDC-CB40-9ED0-984DCFC61F86}" name="Företagsverksamhetens_fasta_kostnader_tabell" displayName="Företagsverksamhetens_fasta_kostnader_tabell" comment="Lönsamhetskalkylens fasta affärsutgifter (utan mervärdesskatt) per månad och år." ref="A13:C33" totalsRowShown="0" headerRowDxfId="760" dataDxfId="758" headerRowBorderDxfId="759" tableBorderDxfId="757" totalsRowBorderDxfId="756">
  <autoFilter ref="A13:C33" xr:uid="{FCBC8DE5-4FDC-CB40-9ED0-984DCFC61F86}">
    <filterColumn colId="0" hiddenButton="1"/>
    <filterColumn colId="1" hiddenButton="1"/>
    <filterColumn colId="2" hiddenButton="1"/>
  </autoFilter>
  <tableColumns count="3">
    <tableColumn id="1" xr3:uid="{851A68FC-A92B-B94E-8643-45F91EDE65FB}" name="Företagsverksamhetens fasta kostnader (utan mervärdesskatt)" dataDxfId="755"/>
    <tableColumn id="4" xr3:uid="{5E61CACF-432B-0E43-8609-3B0ADBB7814B}" name="I månaden" dataDxfId="754"/>
    <tableColumn id="5" xr3:uid="{52F8FD8D-CDE2-7F4D-8B24-F81AB9F36DE9}" name="I året (12 mån.)" dataDxfId="753"/>
  </tableColumns>
  <tableStyleInfo name="Helsinki_taulukko_tyyli" showFirstColumn="1" showLastColumn="0" showRowStripes="0" showColumnStripes="0"/>
  <extLst>
    <ext xmlns:x14="http://schemas.microsoft.com/office/spreadsheetml/2009/9/main" uri="{504A1905-F514-4f6f-8877-14C23A59335A}">
      <x14:table altTextSummary="Yritystoiminnan kiinteät kulut -taulukko"/>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BD00DC61-E70C-C54A-9C8E-6D313A028C11}" name="Behov_av_försäljningstäckning_tabell" displayName="Behov_av_försäljningstäckning_tabell" comment="Lönsamhetskalkylens erforderliga försäljningsmarginal per månad och år." ref="A34:C37" headerRowDxfId="752" dataDxfId="750" totalsRowDxfId="748" headerRowBorderDxfId="751" tableBorderDxfId="749" totalsRowBorderDxfId="747">
  <autoFilter ref="A34:C37" xr:uid="{BD00DC61-E70C-C54A-9C8E-6D313A028C11}">
    <filterColumn colId="0" hiddenButton="1"/>
    <filterColumn colId="1" hiddenButton="1"/>
    <filterColumn colId="2" hiddenButton="1"/>
  </autoFilter>
  <tableColumns count="3">
    <tableColumn id="1" xr3:uid="{67D1C0D4-8178-854F-94F3-E055A5983155}" name="Behov av försäljningstäckning (målresultat och fasta kostnader totalt)" totalsRowLabel="Total" dataDxfId="746"/>
    <tableColumn id="4" xr3:uid="{07F973AA-9A79-6F4F-85C2-5C922602985C}" name="I månaden" dataDxfId="745"/>
    <tableColumn id="5" xr3:uid="{986A3455-6F01-7B4E-910B-0D71358D06BC}" name="I året (12 mån.)" totalsRowFunction="sum" dataDxfId="744"/>
  </tableColumns>
  <tableStyleInfo name="Helsinki_taulukko_tyyli" showFirstColumn="1" showLastColumn="0" showRowStripes="0" showColumnStripes="0"/>
  <extLst>
    <ext xmlns:x14="http://schemas.microsoft.com/office/spreadsheetml/2009/9/main" uri="{504A1905-F514-4f6f-8877-14C23A59335A}">
      <x14:table altTextSummary="Myyntikatetarve -taulukko"/>
    </ext>
  </extLst>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1B9F9A50-7057-014A-9DA1-72291C537B5F}" name="Tre_års_resultaträkning_tabell" displayName="Tre_års_resultaträkning_tabell" comment="Lönsamhetskalkylens treåriga resultaträkning." ref="A46:D61" headerRowDxfId="743" dataDxfId="741" totalsRowDxfId="739" headerRowBorderDxfId="742" tableBorderDxfId="740" totalsRowBorderDxfId="738">
  <autoFilter ref="A46:D61" xr:uid="{1B9F9A50-7057-014A-9DA1-72291C537B5F}">
    <filterColumn colId="0" hiddenButton="1"/>
    <filterColumn colId="1" hiddenButton="1"/>
    <filterColumn colId="2" hiddenButton="1"/>
    <filterColumn colId="3" hiddenButton="1"/>
  </autoFilter>
  <tableColumns count="4">
    <tableColumn id="1" xr3:uid="{5BBB8ED4-16FA-3442-BCCC-C78E5F245C22}" name="Tre års resultaträkning" totalsRowLabel="Total" dataDxfId="737"/>
    <tableColumn id="2" xr3:uid="{44807215-9A09-0748-A08B-10EAEBCBE86E}" name="år +1" dataDxfId="736"/>
    <tableColumn id="3" xr3:uid="{3E45B337-5143-9C4C-9795-B17F9273B046}" name="år +2" dataDxfId="735"/>
    <tableColumn id="4" xr3:uid="{243898B3-5CBD-7040-8C2A-4CE02F4A744F}" name="år +3" totalsRowFunction="sum" dataDxfId="734"/>
  </tableColumns>
  <tableStyleInfo name="Helsinki_taulukko_tyyli" showFirstColumn="1" showLastColumn="0" showRowStripes="1" showColumnStripes="0"/>
  <extLst>
    <ext xmlns:x14="http://schemas.microsoft.com/office/spreadsheetml/2009/9/main" uri="{504A1905-F514-4f6f-8877-14C23A59335A}">
      <x14:table altTextSummary="Kolmen vuoden tuloslaskelma -taulukko"/>
    </ext>
  </extLst>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B49ED3CF-6461-2C4C-86D5-F5F66013FFD3}" name="Minimum_behov_av_försäljningsmarginal_tabell" displayName="Minimum_behov_av_försäljningsmarginal_tabell" comment="Lönsamhetskalkylens minsta erforderliga försäljningsmarginal per månad och år." ref="A38:C42" totalsRowShown="0" headerRowDxfId="733" dataDxfId="731" headerRowBorderDxfId="732" tableBorderDxfId="730" totalsRowBorderDxfId="729">
  <autoFilter ref="A38:C42" xr:uid="{B49ED3CF-6461-2C4C-86D5-F5F66013FFD3}">
    <filterColumn colId="0" hiddenButton="1"/>
    <filterColumn colId="1" hiddenButton="1"/>
    <filterColumn colId="2" hiddenButton="1"/>
  </autoFilter>
  <tableColumns count="3">
    <tableColumn id="1" xr3:uid="{55A67C48-E109-D74A-AB25-26EB86F2FF76}" name="Behov av försäljningstäckning (minimum)" dataDxfId="728"/>
    <tableColumn id="3" xr3:uid="{4A2EFDFD-74DF-F042-A1D9-B7D8A6AF7987}" name="Skattefritt i året" dataDxfId="727"/>
    <tableColumn id="4" xr3:uid="{A2C91E1B-CC3D-0F46-8950-2C625522099E}" name="Innehåller mervärdesskatt" dataDxfId="726"/>
  </tableColumns>
  <tableStyleInfo name="Helsinki_taulukko_tyyli" showFirstColumn="1" showLastColumn="0" showRowStripes="0" showColumnStripes="0"/>
  <extLst>
    <ext xmlns:x14="http://schemas.microsoft.com/office/spreadsheetml/2009/9/main" uri="{504A1905-F514-4f6f-8877-14C23A59335A}">
      <x14:table altTextSummary="Laskutustavoite -taulukko"/>
    </ext>
  </extLst>
</table>
</file>

<file path=xl/theme/theme1.xml><?xml version="1.0" encoding="utf-8"?>
<a:theme xmlns:a="http://schemas.openxmlformats.org/drawingml/2006/main" name="Office 2013 – 2022 -te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117DFDA1-056B-4544-B750-72CB3E213EE0}">
  <we:reference id="df76232d-21a6-4463-9d19-0518ac5aab5d" version="1.1.0.0" store="EXCatalog" storeType="EXCatalog"/>
  <we:alternateReferences>
    <we:reference id="WA200000556" version="1.1.0.0" store="" storeType="OMEX"/>
  </we:alternateReferences>
  <we:properties>
    <we:property name="Office.AutoShowTaskpaneWithDocument" value="true"/>
    <we:property name="documentId" value="&quot;faf5d975-0b05-41bd-b279-7713bf4144c8&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_xldudf_JIRA_JQL</we:customFunctionIds>
      </we:customFunctionIdList>
    </a:ext>
  </we:extLst>
</we:webextension>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7"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9.xml"/><Relationship Id="rId3" Type="http://schemas.openxmlformats.org/officeDocument/2006/relationships/vmlDrawing" Target="../drawings/vmlDrawing2.vml"/><Relationship Id="rId7" Type="http://schemas.openxmlformats.org/officeDocument/2006/relationships/table" Target="../tables/table8.xml"/><Relationship Id="rId2" Type="http://schemas.openxmlformats.org/officeDocument/2006/relationships/drawing" Target="../drawings/drawing2.xml"/><Relationship Id="rId1" Type="http://schemas.openxmlformats.org/officeDocument/2006/relationships/hyperlink" Target="https://www.vero.fi/sv/privatpersoner/skattekort-och-skattedeklaration/skattekort/skatteprocent-och-inkomstgr%C3%A4ns/skatteprocentraknaren/" TargetMode="External"/><Relationship Id="rId6" Type="http://schemas.openxmlformats.org/officeDocument/2006/relationships/table" Target="../tables/table7.xml"/><Relationship Id="rId11" Type="http://schemas.openxmlformats.org/officeDocument/2006/relationships/comments" Target="../comments2.xml"/><Relationship Id="rId5" Type="http://schemas.openxmlformats.org/officeDocument/2006/relationships/table" Target="../tables/table6.xml"/><Relationship Id="rId10" Type="http://schemas.openxmlformats.org/officeDocument/2006/relationships/table" Target="../tables/table11.xml"/><Relationship Id="rId4" Type="http://schemas.openxmlformats.org/officeDocument/2006/relationships/table" Target="../tables/table5.xml"/><Relationship Id="rId9" Type="http://schemas.openxmlformats.org/officeDocument/2006/relationships/table" Target="../tables/table10.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vmlDrawing" Target="../drawings/vmlDrawing3.vml"/><Relationship Id="rId1" Type="http://schemas.openxmlformats.org/officeDocument/2006/relationships/drawing" Target="../drawings/drawing3.xml"/><Relationship Id="rId6" Type="http://schemas.openxmlformats.org/officeDocument/2006/relationships/comments" Target="../comments3.xml"/><Relationship Id="rId5" Type="http://schemas.openxmlformats.org/officeDocument/2006/relationships/table" Target="../tables/table14.xml"/><Relationship Id="rId4" Type="http://schemas.openxmlformats.org/officeDocument/2006/relationships/table" Target="../tables/table13.xml"/></Relationships>
</file>

<file path=xl/worksheets/_rels/sheet4.xml.rels><?xml version="1.0" encoding="UTF-8" standalone="yes"?>
<Relationships xmlns="http://schemas.openxmlformats.org/package/2006/relationships"><Relationship Id="rId8" Type="http://schemas.openxmlformats.org/officeDocument/2006/relationships/table" Target="../tables/table20.xml"/><Relationship Id="rId3" Type="http://schemas.openxmlformats.org/officeDocument/2006/relationships/table" Target="../tables/table15.xml"/><Relationship Id="rId7" Type="http://schemas.openxmlformats.org/officeDocument/2006/relationships/table" Target="../tables/table19.xml"/><Relationship Id="rId2" Type="http://schemas.openxmlformats.org/officeDocument/2006/relationships/vmlDrawing" Target="../drawings/vmlDrawing4.vml"/><Relationship Id="rId1" Type="http://schemas.openxmlformats.org/officeDocument/2006/relationships/drawing" Target="../drawings/drawing4.xml"/><Relationship Id="rId6" Type="http://schemas.openxmlformats.org/officeDocument/2006/relationships/table" Target="../tables/table18.xml"/><Relationship Id="rId11" Type="http://schemas.openxmlformats.org/officeDocument/2006/relationships/comments" Target="../comments4.xml"/><Relationship Id="rId5" Type="http://schemas.openxmlformats.org/officeDocument/2006/relationships/table" Target="../tables/table1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s>
</file>

<file path=xl/worksheets/_rels/sheet5.xml.rels><?xml version="1.0" encoding="UTF-8" standalone="yes"?>
<Relationships xmlns="http://schemas.openxmlformats.org/package/2006/relationships"><Relationship Id="rId8" Type="http://schemas.openxmlformats.org/officeDocument/2006/relationships/table" Target="../tables/table28.xml"/><Relationship Id="rId3" Type="http://schemas.openxmlformats.org/officeDocument/2006/relationships/table" Target="../tables/table23.xml"/><Relationship Id="rId7" Type="http://schemas.openxmlformats.org/officeDocument/2006/relationships/table" Target="../tables/table27.xml"/><Relationship Id="rId2" Type="http://schemas.openxmlformats.org/officeDocument/2006/relationships/vmlDrawing" Target="../drawings/vmlDrawing5.vml"/><Relationship Id="rId1" Type="http://schemas.openxmlformats.org/officeDocument/2006/relationships/drawing" Target="../drawings/drawing5.xml"/><Relationship Id="rId6" Type="http://schemas.openxmlformats.org/officeDocument/2006/relationships/table" Target="../tables/table26.xml"/><Relationship Id="rId11" Type="http://schemas.openxmlformats.org/officeDocument/2006/relationships/comments" Target="../comments5.xml"/><Relationship Id="rId5" Type="http://schemas.openxmlformats.org/officeDocument/2006/relationships/table" Target="../tables/table25.xml"/><Relationship Id="rId10" Type="http://schemas.openxmlformats.org/officeDocument/2006/relationships/table" Target="../tables/table30.xml"/><Relationship Id="rId4" Type="http://schemas.openxmlformats.org/officeDocument/2006/relationships/table" Target="../tables/table24.xml"/><Relationship Id="rId9" Type="http://schemas.openxmlformats.org/officeDocument/2006/relationships/table" Target="../tables/table29.xml"/></Relationships>
</file>

<file path=xl/worksheets/_rels/sheet6.xml.rels><?xml version="1.0" encoding="UTF-8" standalone="yes"?>
<Relationships xmlns="http://schemas.openxmlformats.org/package/2006/relationships"><Relationship Id="rId8" Type="http://schemas.openxmlformats.org/officeDocument/2006/relationships/table" Target="../tables/table36.xml"/><Relationship Id="rId3" Type="http://schemas.openxmlformats.org/officeDocument/2006/relationships/table" Target="../tables/table31.xml"/><Relationship Id="rId7" Type="http://schemas.openxmlformats.org/officeDocument/2006/relationships/table" Target="../tables/table35.xml"/><Relationship Id="rId2" Type="http://schemas.openxmlformats.org/officeDocument/2006/relationships/vmlDrawing" Target="../drawings/vmlDrawing6.vml"/><Relationship Id="rId1" Type="http://schemas.openxmlformats.org/officeDocument/2006/relationships/drawing" Target="../drawings/drawing6.xml"/><Relationship Id="rId6" Type="http://schemas.openxmlformats.org/officeDocument/2006/relationships/table" Target="../tables/table34.xml"/><Relationship Id="rId11" Type="http://schemas.openxmlformats.org/officeDocument/2006/relationships/comments" Target="../comments6.xml"/><Relationship Id="rId5" Type="http://schemas.openxmlformats.org/officeDocument/2006/relationships/table" Target="../tables/table33.xml"/><Relationship Id="rId10" Type="http://schemas.openxmlformats.org/officeDocument/2006/relationships/table" Target="../tables/table38.xml"/><Relationship Id="rId4" Type="http://schemas.openxmlformats.org/officeDocument/2006/relationships/table" Target="../tables/table32.xml"/><Relationship Id="rId9" Type="http://schemas.openxmlformats.org/officeDocument/2006/relationships/table" Target="../tables/table3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6F788-AEE9-1247-88AF-6AEBE226BAC3}">
  <dimension ref="A1:N63"/>
  <sheetViews>
    <sheetView tabSelected="1" workbookViewId="0">
      <selection activeCell="B1" sqref="B1"/>
    </sheetView>
  </sheetViews>
  <sheetFormatPr defaultColWidth="10.875" defaultRowHeight="18" x14ac:dyDescent="0.25"/>
  <cols>
    <col min="1" max="1" width="70.875" style="7" customWidth="1"/>
    <col min="2" max="2" width="23.875" style="2" customWidth="1"/>
    <col min="3" max="3" width="56.375" style="2" customWidth="1"/>
    <col min="4" max="4" width="0.625" style="2" customWidth="1"/>
    <col min="5" max="6" width="10.875" style="2"/>
    <col min="7" max="7" width="10.875" style="2" customWidth="1"/>
    <col min="8" max="16384" width="10.875" style="2"/>
  </cols>
  <sheetData>
    <row r="1" spans="1:8" ht="60" customHeight="1" x14ac:dyDescent="0.25">
      <c r="A1" s="56" t="s">
        <v>21</v>
      </c>
      <c r="B1" s="4" t="s">
        <v>78</v>
      </c>
      <c r="C1" s="4" t="s">
        <v>78</v>
      </c>
      <c r="D1" s="56" t="s">
        <v>162</v>
      </c>
      <c r="E1" s="5"/>
      <c r="F1" s="5"/>
    </row>
    <row r="2" spans="1:8" ht="30" customHeight="1" x14ac:dyDescent="0.25">
      <c r="A2" s="3" t="s">
        <v>22</v>
      </c>
      <c r="B2" s="4" t="s">
        <v>78</v>
      </c>
      <c r="C2" s="4" t="s">
        <v>78</v>
      </c>
      <c r="D2" s="56" t="s">
        <v>162</v>
      </c>
      <c r="E2" s="5"/>
      <c r="F2" s="5"/>
    </row>
    <row r="3" spans="1:8" ht="144.94999999999999" customHeight="1" x14ac:dyDescent="0.25">
      <c r="A3" s="7" t="s">
        <v>23</v>
      </c>
      <c r="B3" s="4" t="s">
        <v>78</v>
      </c>
      <c r="C3" s="4" t="s">
        <v>78</v>
      </c>
      <c r="D3" s="56" t="s">
        <v>162</v>
      </c>
      <c r="E3" s="5"/>
      <c r="F3" s="5"/>
    </row>
    <row r="4" spans="1:8" ht="20.100000000000001" customHeight="1" x14ac:dyDescent="0.25">
      <c r="A4" s="6" t="s">
        <v>24</v>
      </c>
      <c r="B4" s="4" t="s">
        <v>78</v>
      </c>
      <c r="C4" s="4" t="s">
        <v>78</v>
      </c>
      <c r="D4" s="56" t="s">
        <v>162</v>
      </c>
      <c r="E4" s="5"/>
      <c r="F4" s="5"/>
      <c r="G4" s="5"/>
    </row>
    <row r="5" spans="1:8" ht="45" customHeight="1" x14ac:dyDescent="0.25">
      <c r="A5" s="62" t="s">
        <v>25</v>
      </c>
      <c r="B5" s="4" t="s">
        <v>78</v>
      </c>
      <c r="C5" s="4" t="s">
        <v>78</v>
      </c>
      <c r="D5" s="56" t="s">
        <v>162</v>
      </c>
      <c r="E5" s="5"/>
      <c r="F5" s="5"/>
      <c r="G5" s="5"/>
    </row>
    <row r="6" spans="1:8" ht="44.1" customHeight="1" x14ac:dyDescent="0.25">
      <c r="A6" s="7" t="s">
        <v>26</v>
      </c>
      <c r="B6" s="4" t="s">
        <v>78</v>
      </c>
      <c r="C6" s="4" t="s">
        <v>78</v>
      </c>
      <c r="D6" s="56" t="s">
        <v>162</v>
      </c>
      <c r="E6" s="5"/>
      <c r="F6" s="5"/>
    </row>
    <row r="7" spans="1:8" ht="44.1" customHeight="1" x14ac:dyDescent="0.25">
      <c r="A7" s="7" t="s">
        <v>27</v>
      </c>
      <c r="B7" s="4" t="s">
        <v>78</v>
      </c>
      <c r="C7" s="4" t="s">
        <v>78</v>
      </c>
      <c r="D7" s="56" t="s">
        <v>162</v>
      </c>
      <c r="E7" s="5"/>
      <c r="F7" s="5"/>
      <c r="G7" s="5"/>
    </row>
    <row r="8" spans="1:8" ht="44.1" customHeight="1" x14ac:dyDescent="0.25">
      <c r="A8" s="7" t="s">
        <v>28</v>
      </c>
      <c r="B8" s="4" t="s">
        <v>78</v>
      </c>
      <c r="C8" s="4" t="s">
        <v>78</v>
      </c>
      <c r="D8" s="56" t="s">
        <v>162</v>
      </c>
      <c r="E8" s="5"/>
      <c r="F8" s="5"/>
      <c r="G8" s="5"/>
    </row>
    <row r="9" spans="1:8" ht="44.1" customHeight="1" x14ac:dyDescent="0.25">
      <c r="A9" s="7" t="s">
        <v>29</v>
      </c>
      <c r="B9" s="4" t="s">
        <v>78</v>
      </c>
      <c r="C9" s="4" t="s">
        <v>78</v>
      </c>
      <c r="D9" s="56" t="s">
        <v>162</v>
      </c>
      <c r="E9" s="5"/>
      <c r="F9" s="5"/>
      <c r="G9" s="5"/>
    </row>
    <row r="10" spans="1:8" ht="30" customHeight="1" x14ac:dyDescent="0.25">
      <c r="A10" s="8" t="s">
        <v>30</v>
      </c>
      <c r="B10" s="27" t="s">
        <v>0</v>
      </c>
      <c r="C10" s="9" t="s">
        <v>31</v>
      </c>
      <c r="D10" s="56" t="s">
        <v>162</v>
      </c>
      <c r="E10" s="5"/>
      <c r="F10" s="5"/>
      <c r="G10" s="5"/>
      <c r="H10" s="5"/>
    </row>
    <row r="11" spans="1:8" ht="20.100000000000001" customHeight="1" x14ac:dyDescent="0.25">
      <c r="A11" s="87" t="s">
        <v>32</v>
      </c>
      <c r="B11" s="29" t="s">
        <v>78</v>
      </c>
      <c r="C11" s="30"/>
      <c r="D11" s="56" t="s">
        <v>162</v>
      </c>
      <c r="E11" s="5"/>
      <c r="F11" s="5"/>
      <c r="G11" s="5"/>
      <c r="H11" s="5"/>
    </row>
    <row r="12" spans="1:8" ht="20.100000000000001" customHeight="1" x14ac:dyDescent="0.25">
      <c r="A12" s="24" t="s">
        <v>33</v>
      </c>
      <c r="B12" s="113"/>
      <c r="C12" s="89"/>
      <c r="D12" s="56" t="s">
        <v>162</v>
      </c>
      <c r="E12" s="5"/>
      <c r="F12" s="5"/>
      <c r="G12" s="5"/>
      <c r="H12" s="5"/>
    </row>
    <row r="13" spans="1:8" ht="20.100000000000001" customHeight="1" x14ac:dyDescent="0.25">
      <c r="A13" s="24" t="s">
        <v>34</v>
      </c>
      <c r="B13" s="113"/>
      <c r="C13" s="89"/>
      <c r="D13" s="56" t="s">
        <v>162</v>
      </c>
      <c r="E13" s="5"/>
      <c r="F13" s="5"/>
      <c r="G13" s="5"/>
      <c r="H13" s="5"/>
    </row>
    <row r="14" spans="1:8" ht="20.100000000000001" customHeight="1" x14ac:dyDescent="0.25">
      <c r="A14" s="24" t="s">
        <v>35</v>
      </c>
      <c r="B14" s="113"/>
      <c r="C14" s="89"/>
      <c r="D14" s="56" t="s">
        <v>162</v>
      </c>
      <c r="E14" s="5"/>
      <c r="F14" s="5"/>
      <c r="G14" s="5"/>
      <c r="H14" s="5"/>
    </row>
    <row r="15" spans="1:8" ht="20.100000000000001" customHeight="1" x14ac:dyDescent="0.25">
      <c r="A15" s="24" t="s">
        <v>36</v>
      </c>
      <c r="B15" s="113"/>
      <c r="C15" s="89"/>
      <c r="D15" s="56" t="s">
        <v>162</v>
      </c>
      <c r="E15" s="5"/>
      <c r="F15" s="5"/>
      <c r="G15" s="5"/>
      <c r="H15" s="5"/>
    </row>
    <row r="16" spans="1:8" ht="20.100000000000001" customHeight="1" x14ac:dyDescent="0.25">
      <c r="A16" s="24" t="s">
        <v>37</v>
      </c>
      <c r="B16" s="113"/>
      <c r="C16" s="89"/>
      <c r="D16" s="56" t="s">
        <v>162</v>
      </c>
      <c r="E16" s="5"/>
      <c r="F16" s="5"/>
      <c r="G16" s="5"/>
      <c r="H16" s="5"/>
    </row>
    <row r="17" spans="1:8" ht="20.100000000000001" customHeight="1" x14ac:dyDescent="0.25">
      <c r="A17" s="24" t="s">
        <v>38</v>
      </c>
      <c r="B17" s="113"/>
      <c r="C17" s="89"/>
      <c r="D17" s="56" t="s">
        <v>162</v>
      </c>
      <c r="E17" s="5"/>
      <c r="F17" s="5"/>
      <c r="G17" s="5"/>
      <c r="H17" s="5"/>
    </row>
    <row r="18" spans="1:8" ht="20.100000000000001" customHeight="1" x14ac:dyDescent="0.25">
      <c r="A18" s="24" t="s">
        <v>39</v>
      </c>
      <c r="B18" s="113"/>
      <c r="C18" s="89"/>
      <c r="D18" s="56" t="s">
        <v>162</v>
      </c>
      <c r="E18" s="5"/>
      <c r="F18" s="5"/>
      <c r="G18" s="5"/>
      <c r="H18" s="5"/>
    </row>
    <row r="19" spans="1:8" ht="20.100000000000001" customHeight="1" x14ac:dyDescent="0.25">
      <c r="A19" s="24" t="s">
        <v>40</v>
      </c>
      <c r="B19" s="113"/>
      <c r="C19" s="89"/>
      <c r="D19" s="56" t="s">
        <v>162</v>
      </c>
      <c r="E19" s="5"/>
      <c r="F19" s="5"/>
      <c r="G19" s="5"/>
      <c r="H19" s="5"/>
    </row>
    <row r="20" spans="1:8" ht="20.100000000000001" customHeight="1" x14ac:dyDescent="0.25">
      <c r="A20" s="24" t="s">
        <v>41</v>
      </c>
      <c r="B20" s="113"/>
      <c r="C20" s="89"/>
      <c r="D20" s="56" t="s">
        <v>162</v>
      </c>
      <c r="E20" s="5"/>
      <c r="F20" s="5"/>
      <c r="G20" s="5"/>
      <c r="H20" s="5"/>
    </row>
    <row r="21" spans="1:8" ht="20.100000000000001" customHeight="1" x14ac:dyDescent="0.25">
      <c r="A21" s="24" t="s">
        <v>42</v>
      </c>
      <c r="B21" s="113"/>
      <c r="C21" s="89"/>
      <c r="D21" s="56" t="s">
        <v>162</v>
      </c>
      <c r="E21" s="5"/>
      <c r="F21" s="5"/>
      <c r="G21" s="5"/>
      <c r="H21" s="5"/>
    </row>
    <row r="22" spans="1:8" ht="20.100000000000001" customHeight="1" x14ac:dyDescent="0.25">
      <c r="A22" s="24" t="s">
        <v>43</v>
      </c>
      <c r="B22" s="113"/>
      <c r="C22" s="89"/>
      <c r="D22" s="56" t="s">
        <v>162</v>
      </c>
      <c r="E22" s="5"/>
      <c r="F22" s="5"/>
      <c r="G22" s="5"/>
      <c r="H22" s="5"/>
    </row>
    <row r="23" spans="1:8" ht="20.100000000000001" customHeight="1" x14ac:dyDescent="0.25">
      <c r="A23" s="24" t="s">
        <v>44</v>
      </c>
      <c r="B23" s="113"/>
      <c r="C23" s="89"/>
      <c r="D23" s="56" t="s">
        <v>162</v>
      </c>
      <c r="E23" s="5"/>
      <c r="F23" s="5"/>
      <c r="G23" s="5"/>
      <c r="H23" s="5"/>
    </row>
    <row r="24" spans="1:8" ht="20.100000000000001" customHeight="1" x14ac:dyDescent="0.25">
      <c r="A24" s="24" t="s">
        <v>45</v>
      </c>
      <c r="B24" s="113"/>
      <c r="C24" s="89"/>
      <c r="D24" s="56" t="s">
        <v>162</v>
      </c>
      <c r="E24" s="5"/>
      <c r="F24" s="5"/>
      <c r="G24" s="5"/>
      <c r="H24" s="5"/>
    </row>
    <row r="25" spans="1:8" ht="20.100000000000001" customHeight="1" x14ac:dyDescent="0.25">
      <c r="A25" s="88" t="s">
        <v>46</v>
      </c>
      <c r="B25" s="115" t="s">
        <v>78</v>
      </c>
      <c r="C25" s="31"/>
      <c r="D25" s="56" t="s">
        <v>162</v>
      </c>
      <c r="E25" s="5"/>
      <c r="F25" s="5"/>
      <c r="G25" s="5"/>
      <c r="H25" s="5"/>
    </row>
    <row r="26" spans="1:8" ht="20.100000000000001" customHeight="1" x14ac:dyDescent="0.25">
      <c r="A26" s="24" t="s">
        <v>47</v>
      </c>
      <c r="B26" s="113"/>
      <c r="C26" s="89"/>
      <c r="D26" s="56" t="s">
        <v>162</v>
      </c>
      <c r="E26" s="5"/>
      <c r="F26" s="5"/>
      <c r="G26" s="5"/>
      <c r="H26" s="5"/>
    </row>
    <row r="27" spans="1:8" ht="20.100000000000001" customHeight="1" x14ac:dyDescent="0.25">
      <c r="A27" s="24" t="s">
        <v>48</v>
      </c>
      <c r="B27" s="113"/>
      <c r="C27" s="89"/>
      <c r="D27" s="56" t="s">
        <v>162</v>
      </c>
      <c r="E27" s="5"/>
      <c r="F27" s="5"/>
      <c r="G27" s="5"/>
      <c r="H27" s="5"/>
    </row>
    <row r="28" spans="1:8" ht="20.100000000000001" customHeight="1" x14ac:dyDescent="0.25">
      <c r="A28" s="24" t="s">
        <v>49</v>
      </c>
      <c r="B28" s="113"/>
      <c r="C28" s="89"/>
      <c r="D28" s="56" t="s">
        <v>162</v>
      </c>
      <c r="E28" s="5"/>
      <c r="F28" s="5"/>
      <c r="G28" s="5"/>
      <c r="H28" s="5"/>
    </row>
    <row r="29" spans="1:8" ht="20.100000000000001" customHeight="1" x14ac:dyDescent="0.25">
      <c r="A29" s="24" t="s">
        <v>50</v>
      </c>
      <c r="B29" s="113"/>
      <c r="C29" s="89"/>
      <c r="D29" s="56" t="s">
        <v>162</v>
      </c>
      <c r="E29" s="5"/>
      <c r="F29" s="5"/>
      <c r="G29" s="5"/>
      <c r="H29" s="5"/>
    </row>
    <row r="30" spans="1:8" ht="20.100000000000001" customHeight="1" x14ac:dyDescent="0.25">
      <c r="A30" s="24" t="s">
        <v>51</v>
      </c>
      <c r="B30" s="113"/>
      <c r="C30" s="89"/>
      <c r="D30" s="56" t="s">
        <v>162</v>
      </c>
      <c r="E30" s="5"/>
      <c r="F30" s="5"/>
      <c r="G30" s="5"/>
      <c r="H30" s="5"/>
    </row>
    <row r="31" spans="1:8" ht="20.100000000000001" customHeight="1" x14ac:dyDescent="0.25">
      <c r="A31" s="88" t="s">
        <v>52</v>
      </c>
      <c r="B31" s="115" t="s">
        <v>78</v>
      </c>
      <c r="C31" s="31"/>
      <c r="D31" s="56" t="s">
        <v>162</v>
      </c>
      <c r="E31" s="5"/>
      <c r="F31" s="5"/>
      <c r="G31" s="5"/>
      <c r="H31" s="5"/>
    </row>
    <row r="32" spans="1:8" ht="20.100000000000001" customHeight="1" x14ac:dyDescent="0.25">
      <c r="A32" s="24" t="s">
        <v>53</v>
      </c>
      <c r="B32" s="113"/>
      <c r="C32" s="89"/>
      <c r="D32" s="56" t="s">
        <v>162</v>
      </c>
      <c r="E32" s="5"/>
      <c r="F32" s="5"/>
      <c r="G32" s="5"/>
      <c r="H32" s="5"/>
    </row>
    <row r="33" spans="1:10" ht="20.100000000000001" customHeight="1" x14ac:dyDescent="0.25">
      <c r="A33" s="24" t="s">
        <v>54</v>
      </c>
      <c r="B33" s="113"/>
      <c r="C33" s="89"/>
      <c r="D33" s="56" t="s">
        <v>162</v>
      </c>
      <c r="E33" s="5"/>
      <c r="F33" s="5"/>
      <c r="G33" s="5"/>
      <c r="H33" s="5"/>
    </row>
    <row r="34" spans="1:10" ht="20.100000000000001" customHeight="1" thickBot="1" x14ac:dyDescent="0.3">
      <c r="A34" s="32" t="s">
        <v>55</v>
      </c>
      <c r="B34" s="114"/>
      <c r="C34" s="90"/>
      <c r="D34" s="56" t="s">
        <v>162</v>
      </c>
      <c r="E34" s="5"/>
      <c r="F34" s="5"/>
      <c r="G34" s="5"/>
      <c r="H34" s="5"/>
    </row>
    <row r="35" spans="1:10" ht="30" customHeight="1" x14ac:dyDescent="0.25">
      <c r="A35" s="33" t="s">
        <v>56</v>
      </c>
      <c r="B35" s="198">
        <f>SUBTOTAL(109,Behov_av_pengar_tabell[€])</f>
        <v>0</v>
      </c>
      <c r="C35" s="197"/>
      <c r="D35" s="56" t="s">
        <v>162</v>
      </c>
      <c r="E35" s="5"/>
      <c r="F35" s="5"/>
      <c r="G35" s="5"/>
      <c r="H35" s="5"/>
    </row>
    <row r="36" spans="1:10" ht="30" customHeight="1" x14ac:dyDescent="0.25">
      <c r="A36" s="8" t="s">
        <v>57</v>
      </c>
      <c r="B36" s="27" t="s">
        <v>0</v>
      </c>
      <c r="C36" s="9" t="s">
        <v>31</v>
      </c>
      <c r="D36" s="56" t="s">
        <v>162</v>
      </c>
      <c r="E36" s="5"/>
      <c r="F36" s="5"/>
      <c r="G36" s="5"/>
      <c r="H36" s="5"/>
      <c r="J36" s="34"/>
    </row>
    <row r="37" spans="1:10" ht="20.100000000000001" customHeight="1" x14ac:dyDescent="0.25">
      <c r="A37" s="87" t="s">
        <v>58</v>
      </c>
      <c r="B37" s="29" t="s">
        <v>78</v>
      </c>
      <c r="C37" s="30"/>
      <c r="D37" s="56" t="s">
        <v>162</v>
      </c>
      <c r="E37" s="5"/>
      <c r="F37" s="5"/>
      <c r="G37" s="5"/>
      <c r="H37" s="5"/>
    </row>
    <row r="38" spans="1:10" ht="20.100000000000001" customHeight="1" x14ac:dyDescent="0.25">
      <c r="A38" s="24" t="s">
        <v>59</v>
      </c>
      <c r="B38" s="116">
        <f>B15</f>
        <v>0</v>
      </c>
      <c r="C38" s="91"/>
      <c r="D38" s="56" t="s">
        <v>162</v>
      </c>
      <c r="E38" s="5"/>
      <c r="F38" s="5"/>
      <c r="G38" s="5"/>
      <c r="H38" s="5"/>
    </row>
    <row r="39" spans="1:10" ht="20.100000000000001" customHeight="1" x14ac:dyDescent="0.25">
      <c r="A39" s="24" t="s">
        <v>60</v>
      </c>
      <c r="B39" s="113"/>
      <c r="C39" s="91"/>
      <c r="D39" s="56" t="s">
        <v>162</v>
      </c>
      <c r="E39" s="5"/>
      <c r="F39" s="5"/>
      <c r="G39" s="5"/>
      <c r="H39" s="5"/>
    </row>
    <row r="40" spans="1:10" ht="20.100000000000001" customHeight="1" x14ac:dyDescent="0.25">
      <c r="A40" s="24" t="s">
        <v>61</v>
      </c>
      <c r="B40" s="113"/>
      <c r="C40" s="91"/>
      <c r="D40" s="56" t="s">
        <v>162</v>
      </c>
      <c r="E40" s="5"/>
      <c r="F40" s="5"/>
      <c r="G40" s="5"/>
      <c r="H40" s="5"/>
    </row>
    <row r="41" spans="1:10" ht="20.100000000000001" customHeight="1" x14ac:dyDescent="0.25">
      <c r="A41" s="24" t="s">
        <v>62</v>
      </c>
      <c r="B41" s="113"/>
      <c r="C41" s="91"/>
      <c r="D41" s="56" t="s">
        <v>162</v>
      </c>
      <c r="E41" s="5"/>
      <c r="F41" s="5"/>
      <c r="G41" s="5"/>
      <c r="H41" s="5"/>
    </row>
    <row r="42" spans="1:10" ht="20.100000000000001" customHeight="1" x14ac:dyDescent="0.25">
      <c r="A42" s="88" t="s">
        <v>63</v>
      </c>
      <c r="B42" s="115" t="s">
        <v>78</v>
      </c>
      <c r="C42" s="35"/>
      <c r="D42" s="56" t="s">
        <v>162</v>
      </c>
      <c r="E42" s="5"/>
      <c r="F42" s="5"/>
      <c r="G42" s="5"/>
      <c r="H42" s="5"/>
    </row>
    <row r="43" spans="1:10" ht="20.100000000000001" customHeight="1" x14ac:dyDescent="0.25">
      <c r="A43" s="24" t="s">
        <v>64</v>
      </c>
      <c r="B43" s="113"/>
      <c r="C43" s="91"/>
      <c r="D43" s="56" t="s">
        <v>162</v>
      </c>
      <c r="E43" s="5"/>
      <c r="F43" s="5"/>
      <c r="G43" s="5"/>
      <c r="H43" s="5"/>
    </row>
    <row r="44" spans="1:10" ht="20.100000000000001" customHeight="1" x14ac:dyDescent="0.25">
      <c r="A44" s="24" t="s">
        <v>1</v>
      </c>
      <c r="B44" s="113"/>
      <c r="C44" s="91"/>
      <c r="D44" s="56" t="s">
        <v>162</v>
      </c>
      <c r="E44" s="5"/>
      <c r="F44" s="5"/>
      <c r="G44" s="5"/>
    </row>
    <row r="45" spans="1:10" ht="20.100000000000001" customHeight="1" x14ac:dyDescent="0.25">
      <c r="A45" s="24" t="s">
        <v>65</v>
      </c>
      <c r="B45" s="113"/>
      <c r="C45" s="91"/>
      <c r="D45" s="56" t="s">
        <v>162</v>
      </c>
      <c r="E45" s="5"/>
      <c r="F45" s="5"/>
      <c r="G45" s="5"/>
    </row>
    <row r="46" spans="1:10" ht="20.100000000000001" customHeight="1" x14ac:dyDescent="0.25">
      <c r="A46" s="24" t="s">
        <v>66</v>
      </c>
      <c r="B46" s="113"/>
      <c r="C46" s="91"/>
      <c r="D46" s="56" t="s">
        <v>162</v>
      </c>
      <c r="E46" s="5"/>
      <c r="F46" s="5"/>
      <c r="G46" s="5"/>
    </row>
    <row r="47" spans="1:10" ht="20.100000000000001" customHeight="1" x14ac:dyDescent="0.25">
      <c r="A47" s="24" t="s">
        <v>67</v>
      </c>
      <c r="B47" s="113"/>
      <c r="C47" s="91"/>
      <c r="D47" s="56" t="s">
        <v>162</v>
      </c>
      <c r="E47" s="5"/>
      <c r="F47" s="5"/>
      <c r="G47" s="5"/>
    </row>
    <row r="48" spans="1:10" ht="20.100000000000001" customHeight="1" thickBot="1" x14ac:dyDescent="0.3">
      <c r="A48" s="32" t="s">
        <v>68</v>
      </c>
      <c r="B48" s="114"/>
      <c r="C48" s="90"/>
      <c r="D48" s="56" t="s">
        <v>162</v>
      </c>
      <c r="E48" s="5"/>
      <c r="F48" s="5"/>
      <c r="G48" s="5"/>
    </row>
    <row r="49" spans="1:14" ht="30" customHeight="1" x14ac:dyDescent="0.25">
      <c r="A49" s="33" t="s">
        <v>69</v>
      </c>
      <c r="B49" s="117">
        <f>SUBTOTAL(109,Penningkällor_tabell[€])</f>
        <v>0</v>
      </c>
      <c r="C49" s="36"/>
      <c r="D49" s="56" t="s">
        <v>162</v>
      </c>
      <c r="F49" s="5"/>
      <c r="G49" s="5"/>
      <c r="H49" s="5"/>
    </row>
    <row r="50" spans="1:14" ht="50.1" customHeight="1" x14ac:dyDescent="0.25">
      <c r="A50" s="8" t="s">
        <v>70</v>
      </c>
      <c r="B50" s="27" t="s">
        <v>0</v>
      </c>
      <c r="C50" s="9" t="s">
        <v>71</v>
      </c>
      <c r="D50" s="56" t="s">
        <v>162</v>
      </c>
      <c r="F50" s="5"/>
      <c r="G50" s="5"/>
      <c r="H50" s="5"/>
    </row>
    <row r="51" spans="1:14" ht="50.1" customHeight="1" x14ac:dyDescent="0.25">
      <c r="A51" s="37" t="s">
        <v>72</v>
      </c>
      <c r="B51" s="118">
        <f>Penningkällor_tabell[[#Totals],[€]]-Behov_av_pengar_tabell[[#Totals],[€]]</f>
        <v>0</v>
      </c>
      <c r="C51" s="61" t="str">
        <f>IF(Differensen_mellan_penningkällor_och_behovet_av_pengar_tabell[[#This Row],[€]]=0,"RÄTT","KONTROLLERA DIN BERÄKNING!")</f>
        <v>RÄTT</v>
      </c>
      <c r="D51" s="56" t="s">
        <v>162</v>
      </c>
      <c r="E51" s="4"/>
      <c r="F51" s="4"/>
      <c r="G51" s="4"/>
      <c r="H51" s="38"/>
      <c r="I51" s="38"/>
      <c r="J51" s="38"/>
      <c r="K51" s="38"/>
      <c r="L51" s="38"/>
      <c r="M51" s="38"/>
      <c r="N51" s="38"/>
    </row>
    <row r="52" spans="1:14" ht="30" customHeight="1" x14ac:dyDescent="0.25">
      <c r="A52" s="58" t="s">
        <v>73</v>
      </c>
      <c r="B52" s="4" t="s">
        <v>78</v>
      </c>
      <c r="C52" s="4" t="s">
        <v>78</v>
      </c>
      <c r="D52" s="56" t="s">
        <v>162</v>
      </c>
      <c r="E52" s="5"/>
      <c r="F52" s="5"/>
      <c r="G52" s="5"/>
    </row>
    <row r="53" spans="1:14" ht="110.1" customHeight="1" x14ac:dyDescent="0.25">
      <c r="A53" s="57" t="s">
        <v>272</v>
      </c>
      <c r="B53" s="4" t="s">
        <v>78</v>
      </c>
      <c r="C53" s="4" t="s">
        <v>78</v>
      </c>
      <c r="D53" s="56" t="s">
        <v>162</v>
      </c>
      <c r="E53" s="5"/>
      <c r="F53" s="5"/>
      <c r="G53" s="5"/>
    </row>
    <row r="54" spans="1:14" ht="95.1" customHeight="1" x14ac:dyDescent="0.25">
      <c r="A54" s="57" t="s">
        <v>74</v>
      </c>
      <c r="B54" s="4" t="s">
        <v>78</v>
      </c>
      <c r="C54" s="4" t="s">
        <v>78</v>
      </c>
      <c r="D54" s="56" t="s">
        <v>162</v>
      </c>
      <c r="E54" s="5"/>
      <c r="F54" s="5"/>
      <c r="G54" s="5"/>
    </row>
    <row r="55" spans="1:14" ht="110.1" customHeight="1" x14ac:dyDescent="0.25">
      <c r="A55" s="57" t="s">
        <v>75</v>
      </c>
      <c r="B55" s="4" t="s">
        <v>78</v>
      </c>
      <c r="C55" s="4" t="s">
        <v>78</v>
      </c>
      <c r="D55" s="56" t="s">
        <v>162</v>
      </c>
      <c r="E55" s="5"/>
      <c r="F55" s="5"/>
      <c r="G55" s="5"/>
    </row>
    <row r="56" spans="1:14" ht="95.1" customHeight="1" x14ac:dyDescent="0.25">
      <c r="A56" s="57" t="s">
        <v>76</v>
      </c>
      <c r="B56" s="4" t="s">
        <v>78</v>
      </c>
      <c r="C56" s="4" t="s">
        <v>78</v>
      </c>
      <c r="D56" s="56" t="s">
        <v>162</v>
      </c>
      <c r="E56" s="5"/>
      <c r="F56" s="5"/>
      <c r="G56" s="5"/>
    </row>
    <row r="57" spans="1:14" ht="110.1" customHeight="1" x14ac:dyDescent="0.25">
      <c r="A57" s="59" t="s">
        <v>77</v>
      </c>
      <c r="B57" s="4" t="s">
        <v>78</v>
      </c>
      <c r="C57" s="4" t="s">
        <v>78</v>
      </c>
      <c r="D57" s="56" t="s">
        <v>162</v>
      </c>
      <c r="E57" s="5"/>
      <c r="F57" s="5"/>
      <c r="G57" s="5"/>
    </row>
    <row r="58" spans="1:14" ht="18.75" x14ac:dyDescent="0.25">
      <c r="A58" s="92" t="s">
        <v>3</v>
      </c>
      <c r="B58" s="4" t="s">
        <v>78</v>
      </c>
      <c r="C58" s="4" t="s">
        <v>78</v>
      </c>
      <c r="D58" s="56" t="s">
        <v>162</v>
      </c>
    </row>
    <row r="59" spans="1:14" ht="3.95" customHeight="1" x14ac:dyDescent="0.25">
      <c r="A59" s="56" t="s">
        <v>163</v>
      </c>
      <c r="B59" s="56" t="s">
        <v>163</v>
      </c>
      <c r="C59" s="56" t="s">
        <v>163</v>
      </c>
      <c r="D59" s="56" t="s">
        <v>163</v>
      </c>
      <c r="E59" s="5"/>
      <c r="F59" s="5"/>
      <c r="G59" s="5"/>
    </row>
    <row r="60" spans="1:14" x14ac:dyDescent="0.25">
      <c r="B60" s="5"/>
      <c r="C60" s="5"/>
    </row>
    <row r="61" spans="1:14" x14ac:dyDescent="0.25">
      <c r="B61" s="5"/>
      <c r="C61" s="5"/>
    </row>
    <row r="62" spans="1:14" x14ac:dyDescent="0.25">
      <c r="B62" s="5"/>
      <c r="C62" s="5"/>
    </row>
    <row r="63" spans="1:14" x14ac:dyDescent="0.25">
      <c r="B63" s="5"/>
      <c r="C63" s="5"/>
    </row>
  </sheetData>
  <sheetProtection sheet="1" objects="1" scenarios="1"/>
  <conditionalFormatting sqref="C51">
    <cfRule type="containsText" dxfId="4" priority="1" operator="containsText" text="RÄTT">
      <formula>NOT(ISERROR(SEARCH("RÄTT",C51)))</formula>
    </cfRule>
    <cfRule type="containsText" dxfId="3" priority="2" stopIfTrue="1" operator="containsText" text="KONTROLLERA DIN BERÄKNING!">
      <formula>NOT(ISERROR(SEARCH("KONTROLLERA DIN BERÄKNING!",C51)))</formula>
    </cfRule>
  </conditionalFormatting>
  <pageMargins left="0.7" right="0.7" top="0.75" bottom="0.75" header="0.3" footer="0.3"/>
  <pageSetup paperSize="9" orientation="portrait" horizontalDpi="0" verticalDpi="0"/>
  <drawing r:id="rId1"/>
  <legacyDrawing r:id="rId2"/>
  <tableParts count="4">
    <tablePart r:id="rId3"/>
    <tablePart r:id="rId4"/>
    <tablePart r:id="rId5"/>
    <tablePart r:id="rId6"/>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1400E-7B69-1B4C-9FE7-6B7F1667EA3F}">
  <dimension ref="A1:I85"/>
  <sheetViews>
    <sheetView zoomScaleNormal="100" workbookViewId="0">
      <selection activeCell="B3" sqref="B3"/>
    </sheetView>
  </sheetViews>
  <sheetFormatPr defaultColWidth="10.875" defaultRowHeight="18" x14ac:dyDescent="0.25"/>
  <cols>
    <col min="1" max="1" width="109.875" style="2" customWidth="1"/>
    <col min="2" max="2" width="23.875" style="2" customWidth="1"/>
    <col min="3" max="3" width="25.875" style="2" customWidth="1"/>
    <col min="4" max="4" width="23.875" style="2" customWidth="1"/>
    <col min="5" max="5" width="0.625" style="2" customWidth="1"/>
    <col min="6" max="16384" width="10.875" style="2"/>
  </cols>
  <sheetData>
    <row r="1" spans="1:9" ht="60" customHeight="1" x14ac:dyDescent="0.25">
      <c r="A1" s="56" t="s">
        <v>79</v>
      </c>
      <c r="B1" s="4" t="s">
        <v>78</v>
      </c>
      <c r="C1" s="4" t="s">
        <v>78</v>
      </c>
      <c r="D1" s="4" t="s">
        <v>78</v>
      </c>
      <c r="E1" s="56" t="s">
        <v>160</v>
      </c>
      <c r="F1" s="4"/>
      <c r="G1" s="4"/>
      <c r="H1" s="5"/>
      <c r="I1" s="5"/>
    </row>
    <row r="2" spans="1:9" ht="30" customHeight="1" x14ac:dyDescent="0.25">
      <c r="A2" s="1" t="s">
        <v>80</v>
      </c>
      <c r="B2" s="4" t="s">
        <v>78</v>
      </c>
      <c r="C2" s="4" t="s">
        <v>78</v>
      </c>
      <c r="D2" s="4" t="s">
        <v>78</v>
      </c>
      <c r="E2" s="56" t="s">
        <v>160</v>
      </c>
      <c r="F2" s="4"/>
      <c r="G2" s="4"/>
      <c r="H2" s="5"/>
      <c r="I2" s="5"/>
    </row>
    <row r="3" spans="1:9" ht="125.1" customHeight="1" x14ac:dyDescent="0.25">
      <c r="A3" s="7" t="s">
        <v>81</v>
      </c>
      <c r="B3" s="4" t="s">
        <v>78</v>
      </c>
      <c r="C3" s="4" t="s">
        <v>78</v>
      </c>
      <c r="D3" s="4" t="s">
        <v>78</v>
      </c>
      <c r="E3" s="56" t="s">
        <v>160</v>
      </c>
      <c r="F3" s="4"/>
      <c r="G3" s="4"/>
      <c r="H3" s="5"/>
      <c r="I3" s="5"/>
    </row>
    <row r="4" spans="1:9" ht="50.1" customHeight="1" x14ac:dyDescent="0.25">
      <c r="A4" s="76" t="s">
        <v>82</v>
      </c>
      <c r="B4" s="4" t="s">
        <v>78</v>
      </c>
      <c r="C4" s="4" t="s">
        <v>78</v>
      </c>
      <c r="D4" s="4" t="s">
        <v>78</v>
      </c>
      <c r="E4" s="56" t="s">
        <v>160</v>
      </c>
      <c r="F4" s="4"/>
      <c r="G4" s="4"/>
      <c r="H4" s="5"/>
      <c r="I4" s="5"/>
    </row>
    <row r="5" spans="1:9" ht="30" customHeight="1" x14ac:dyDescent="0.25">
      <c r="A5" s="8" t="s">
        <v>83</v>
      </c>
      <c r="B5" s="9" t="s">
        <v>84</v>
      </c>
      <c r="C5" s="10" t="s">
        <v>85</v>
      </c>
      <c r="D5" s="4" t="s">
        <v>78</v>
      </c>
      <c r="E5" s="56" t="s">
        <v>160</v>
      </c>
      <c r="F5" s="4"/>
      <c r="G5" s="4"/>
    </row>
    <row r="6" spans="1:9" ht="20.100000000000001" customHeight="1" x14ac:dyDescent="0.25">
      <c r="A6" s="11" t="s">
        <v>86</v>
      </c>
      <c r="B6" s="93"/>
      <c r="C6" s="94">
        <f>Målresultat_tabell[[#This Row],[I månaden]]*12</f>
        <v>0</v>
      </c>
      <c r="D6" s="4" t="s">
        <v>78</v>
      </c>
      <c r="E6" s="56" t="s">
        <v>160</v>
      </c>
      <c r="F6" s="4"/>
      <c r="G6" s="4"/>
    </row>
    <row r="7" spans="1:9" ht="20.100000000000001" customHeight="1" x14ac:dyDescent="0.25">
      <c r="A7" s="12" t="s">
        <v>87</v>
      </c>
      <c r="B7" s="95"/>
      <c r="C7" s="96">
        <f>Målresultat_tabell[[#This Row],[I månaden]]*12</f>
        <v>0</v>
      </c>
      <c r="D7" s="4" t="s">
        <v>78</v>
      </c>
      <c r="E7" s="56" t="s">
        <v>160</v>
      </c>
      <c r="F7" s="4"/>
      <c r="G7" s="4"/>
    </row>
    <row r="8" spans="1:9" ht="20.100000000000001" customHeight="1" x14ac:dyDescent="0.25">
      <c r="A8" s="13" t="s">
        <v>88</v>
      </c>
      <c r="B8" s="97">
        <f>SUM(B6:B7)</f>
        <v>0</v>
      </c>
      <c r="C8" s="98">
        <f>Målresultat_tabell[[#This Row],[I månaden]]*12</f>
        <v>0</v>
      </c>
      <c r="D8" s="4" t="s">
        <v>78</v>
      </c>
      <c r="E8" s="56" t="s">
        <v>160</v>
      </c>
      <c r="F8" s="4"/>
      <c r="G8" s="4"/>
    </row>
    <row r="9" spans="1:9" ht="20.100000000000001" customHeight="1" x14ac:dyDescent="0.25">
      <c r="A9" s="12" t="s">
        <v>89</v>
      </c>
      <c r="B9" s="95"/>
      <c r="C9" s="96">
        <f>Målresultat_tabell[[#This Row],[I månaden]]*12</f>
        <v>0</v>
      </c>
      <c r="D9" s="4" t="s">
        <v>78</v>
      </c>
      <c r="E9" s="56" t="s">
        <v>160</v>
      </c>
      <c r="F9" s="4"/>
      <c r="G9" s="4"/>
    </row>
    <row r="10" spans="1:9" ht="20.100000000000001" customHeight="1" x14ac:dyDescent="0.25">
      <c r="A10" s="14" t="s">
        <v>90</v>
      </c>
      <c r="B10" s="99">
        <f>SUM(B8:B9)</f>
        <v>0</v>
      </c>
      <c r="C10" s="100">
        <f>Målresultat_tabell[[#This Row],[I månaden]]*12</f>
        <v>0</v>
      </c>
      <c r="D10" s="4" t="s">
        <v>78</v>
      </c>
      <c r="E10" s="56" t="s">
        <v>160</v>
      </c>
      <c r="F10" s="4"/>
      <c r="G10" s="4"/>
    </row>
    <row r="11" spans="1:9" ht="20.100000000000001" customHeight="1" thickBot="1" x14ac:dyDescent="0.3">
      <c r="A11" s="15" t="s">
        <v>91</v>
      </c>
      <c r="B11" s="101"/>
      <c r="C11" s="102">
        <f>Målresultat_tabell[[#This Row],[I månaden]]*12</f>
        <v>0</v>
      </c>
      <c r="D11" s="4" t="s">
        <v>78</v>
      </c>
      <c r="E11" s="56" t="s">
        <v>160</v>
      </c>
      <c r="F11" s="4"/>
      <c r="G11" s="4"/>
    </row>
    <row r="12" spans="1:9" ht="24.95" customHeight="1" x14ac:dyDescent="0.25">
      <c r="A12" s="16" t="s">
        <v>92</v>
      </c>
      <c r="B12" s="103">
        <f>SUM(B10:B11)</f>
        <v>0</v>
      </c>
      <c r="C12" s="104">
        <f>SUM(C10:C11)</f>
        <v>0</v>
      </c>
      <c r="D12" s="4" t="s">
        <v>78</v>
      </c>
      <c r="E12" s="56" t="s">
        <v>160</v>
      </c>
      <c r="F12" s="4"/>
      <c r="G12" s="4"/>
    </row>
    <row r="13" spans="1:9" ht="30" customHeight="1" x14ac:dyDescent="0.25">
      <c r="A13" s="17" t="s">
        <v>93</v>
      </c>
      <c r="B13" s="9" t="s">
        <v>84</v>
      </c>
      <c r="C13" s="10" t="s">
        <v>85</v>
      </c>
      <c r="D13" s="4" t="s">
        <v>78</v>
      </c>
      <c r="E13" s="56" t="s">
        <v>160</v>
      </c>
      <c r="F13" s="4"/>
      <c r="G13" s="4"/>
    </row>
    <row r="14" spans="1:9" ht="20.100000000000001" customHeight="1" x14ac:dyDescent="0.25">
      <c r="A14" s="11" t="s">
        <v>94</v>
      </c>
      <c r="B14" s="93"/>
      <c r="C14" s="94">
        <f>Företagsverksamhetens_fasta_kostnader_tabell[[#This Row],[I månaden]]*12</f>
        <v>0</v>
      </c>
      <c r="D14" s="4" t="s">
        <v>78</v>
      </c>
      <c r="E14" s="56" t="s">
        <v>160</v>
      </c>
      <c r="F14" s="4"/>
      <c r="G14" s="4"/>
    </row>
    <row r="15" spans="1:9" ht="20.100000000000001" customHeight="1" x14ac:dyDescent="0.25">
      <c r="A15" s="18" t="s">
        <v>95</v>
      </c>
      <c r="B15" s="95"/>
      <c r="C15" s="96">
        <f>Företagsverksamhetens_fasta_kostnader_tabell[[#This Row],[I månaden]]*12</f>
        <v>0</v>
      </c>
      <c r="D15" s="4" t="s">
        <v>78</v>
      </c>
      <c r="E15" s="56" t="s">
        <v>160</v>
      </c>
      <c r="F15" s="4"/>
      <c r="G15" s="4"/>
    </row>
    <row r="16" spans="1:9" ht="20.100000000000001" customHeight="1" x14ac:dyDescent="0.25">
      <c r="A16" s="18" t="s">
        <v>96</v>
      </c>
      <c r="B16" s="95"/>
      <c r="C16" s="96">
        <f>Företagsverksamhetens_fasta_kostnader_tabell[[#This Row],[I månaden]]*12</f>
        <v>0</v>
      </c>
      <c r="D16" s="4" t="s">
        <v>78</v>
      </c>
      <c r="E16" s="56" t="s">
        <v>160</v>
      </c>
      <c r="F16" s="4"/>
      <c r="G16" s="4"/>
    </row>
    <row r="17" spans="1:7" ht="20.100000000000001" customHeight="1" x14ac:dyDescent="0.25">
      <c r="A17" s="19" t="s">
        <v>97</v>
      </c>
      <c r="B17" s="95"/>
      <c r="C17" s="96">
        <f>Företagsverksamhetens_fasta_kostnader_tabell[[#This Row],[I månaden]]*12</f>
        <v>0</v>
      </c>
      <c r="D17" s="4" t="s">
        <v>78</v>
      </c>
      <c r="E17" s="56" t="s">
        <v>160</v>
      </c>
      <c r="F17" s="4"/>
      <c r="G17" s="4"/>
    </row>
    <row r="18" spans="1:7" ht="20.100000000000001" customHeight="1" x14ac:dyDescent="0.25">
      <c r="A18" s="18" t="s">
        <v>98</v>
      </c>
      <c r="B18" s="95"/>
      <c r="C18" s="96">
        <f>Företagsverksamhetens_fasta_kostnader_tabell[[#This Row],[I månaden]]*12</f>
        <v>0</v>
      </c>
      <c r="D18" s="4" t="s">
        <v>78</v>
      </c>
      <c r="E18" s="56" t="s">
        <v>160</v>
      </c>
      <c r="F18" s="4"/>
      <c r="G18" s="4"/>
    </row>
    <row r="19" spans="1:7" ht="20.100000000000001" customHeight="1" x14ac:dyDescent="0.25">
      <c r="A19" s="18" t="s">
        <v>99</v>
      </c>
      <c r="B19" s="95"/>
      <c r="C19" s="96">
        <f>Företagsverksamhetens_fasta_kostnader_tabell[[#This Row],[I månaden]]*12</f>
        <v>0</v>
      </c>
      <c r="D19" s="4" t="s">
        <v>78</v>
      </c>
      <c r="E19" s="56" t="s">
        <v>160</v>
      </c>
      <c r="F19" s="4"/>
      <c r="G19" s="4"/>
    </row>
    <row r="20" spans="1:7" ht="20.100000000000001" customHeight="1" x14ac:dyDescent="0.25">
      <c r="A20" s="18" t="s">
        <v>100</v>
      </c>
      <c r="B20" s="95"/>
      <c r="C20" s="96">
        <f>Företagsverksamhetens_fasta_kostnader_tabell[[#This Row],[I månaden]]*12</f>
        <v>0</v>
      </c>
      <c r="D20" s="4" t="s">
        <v>78</v>
      </c>
      <c r="E20" s="56" t="s">
        <v>160</v>
      </c>
      <c r="F20" s="4"/>
      <c r="G20" s="4"/>
    </row>
    <row r="21" spans="1:7" ht="20.100000000000001" customHeight="1" x14ac:dyDescent="0.25">
      <c r="A21" s="18" t="s">
        <v>101</v>
      </c>
      <c r="B21" s="95"/>
      <c r="C21" s="96">
        <f>Företagsverksamhetens_fasta_kostnader_tabell[[#This Row],[I månaden]]*12</f>
        <v>0</v>
      </c>
      <c r="D21" s="4" t="s">
        <v>78</v>
      </c>
      <c r="E21" s="56" t="s">
        <v>160</v>
      </c>
      <c r="F21" s="4"/>
      <c r="G21" s="4"/>
    </row>
    <row r="22" spans="1:7" ht="20.100000000000001" customHeight="1" x14ac:dyDescent="0.25">
      <c r="A22" s="18" t="s">
        <v>102</v>
      </c>
      <c r="B22" s="95"/>
      <c r="C22" s="96">
        <f>Företagsverksamhetens_fasta_kostnader_tabell[[#This Row],[I månaden]]*12</f>
        <v>0</v>
      </c>
      <c r="D22" s="4" t="s">
        <v>78</v>
      </c>
      <c r="E22" s="56" t="s">
        <v>160</v>
      </c>
      <c r="F22" s="4"/>
      <c r="G22" s="4"/>
    </row>
    <row r="23" spans="1:7" ht="20.100000000000001" customHeight="1" x14ac:dyDescent="0.25">
      <c r="A23" s="18" t="s">
        <v>103</v>
      </c>
      <c r="B23" s="95"/>
      <c r="C23" s="96">
        <f>Företagsverksamhetens_fasta_kostnader_tabell[[#This Row],[I månaden]]*12</f>
        <v>0</v>
      </c>
      <c r="D23" s="4" t="s">
        <v>78</v>
      </c>
      <c r="E23" s="56" t="s">
        <v>160</v>
      </c>
      <c r="F23" s="4"/>
      <c r="G23" s="4"/>
    </row>
    <row r="24" spans="1:7" ht="20.100000000000001" customHeight="1" x14ac:dyDescent="0.25">
      <c r="A24" s="18" t="s">
        <v>104</v>
      </c>
      <c r="B24" s="95"/>
      <c r="C24" s="96">
        <f>Företagsverksamhetens_fasta_kostnader_tabell[[#This Row],[I månaden]]*12</f>
        <v>0</v>
      </c>
      <c r="D24" s="4" t="s">
        <v>78</v>
      </c>
      <c r="E24" s="56" t="s">
        <v>160</v>
      </c>
      <c r="F24" s="4"/>
      <c r="G24" s="4"/>
    </row>
    <row r="25" spans="1:7" ht="20.100000000000001" customHeight="1" x14ac:dyDescent="0.25">
      <c r="A25" s="18" t="s">
        <v>105</v>
      </c>
      <c r="B25" s="95"/>
      <c r="C25" s="96">
        <f>Företagsverksamhetens_fasta_kostnader_tabell[[#This Row],[I månaden]]*12</f>
        <v>0</v>
      </c>
      <c r="D25" s="4" t="s">
        <v>78</v>
      </c>
      <c r="E25" s="56" t="s">
        <v>160</v>
      </c>
      <c r="F25" s="4"/>
      <c r="G25" s="4"/>
    </row>
    <row r="26" spans="1:7" ht="20.100000000000001" customHeight="1" x14ac:dyDescent="0.25">
      <c r="A26" s="18" t="s">
        <v>106</v>
      </c>
      <c r="B26" s="95"/>
      <c r="C26" s="96">
        <f>Företagsverksamhetens_fasta_kostnader_tabell[[#This Row],[I månaden]]*12</f>
        <v>0</v>
      </c>
      <c r="D26" s="4" t="s">
        <v>78</v>
      </c>
      <c r="E26" s="56" t="s">
        <v>160</v>
      </c>
      <c r="F26" s="4"/>
      <c r="G26" s="4"/>
    </row>
    <row r="27" spans="1:7" ht="20.100000000000001" customHeight="1" x14ac:dyDescent="0.25">
      <c r="A27" s="18" t="s">
        <v>107</v>
      </c>
      <c r="B27" s="95"/>
      <c r="C27" s="96">
        <f>Företagsverksamhetens_fasta_kostnader_tabell[[#This Row],[I månaden]]*12</f>
        <v>0</v>
      </c>
      <c r="D27" s="4" t="s">
        <v>78</v>
      </c>
      <c r="E27" s="56" t="s">
        <v>160</v>
      </c>
      <c r="F27" s="4"/>
      <c r="G27" s="4"/>
    </row>
    <row r="28" spans="1:7" ht="20.100000000000001" customHeight="1" x14ac:dyDescent="0.25">
      <c r="A28" s="18" t="s">
        <v>108</v>
      </c>
      <c r="B28" s="95"/>
      <c r="C28" s="96">
        <f>Företagsverksamhetens_fasta_kostnader_tabell[[#This Row],[I månaden]]*12</f>
        <v>0</v>
      </c>
      <c r="D28" s="4" t="s">
        <v>78</v>
      </c>
      <c r="E28" s="56" t="s">
        <v>160</v>
      </c>
      <c r="F28" s="4"/>
      <c r="G28" s="4"/>
    </row>
    <row r="29" spans="1:7" ht="20.100000000000001" customHeight="1" x14ac:dyDescent="0.25">
      <c r="A29" s="18" t="s">
        <v>109</v>
      </c>
      <c r="B29" s="95"/>
      <c r="C29" s="96">
        <f>Företagsverksamhetens_fasta_kostnader_tabell[[#This Row],[I månaden]]*12</f>
        <v>0</v>
      </c>
      <c r="D29" s="4" t="s">
        <v>78</v>
      </c>
      <c r="E29" s="56" t="s">
        <v>160</v>
      </c>
      <c r="F29" s="4"/>
      <c r="G29" s="4"/>
    </row>
    <row r="30" spans="1:7" ht="20.100000000000001" customHeight="1" x14ac:dyDescent="0.25">
      <c r="A30" s="18" t="s">
        <v>110</v>
      </c>
      <c r="B30" s="95"/>
      <c r="C30" s="96">
        <f>Företagsverksamhetens_fasta_kostnader_tabell[[#This Row],[I månaden]]*12</f>
        <v>0</v>
      </c>
      <c r="D30" s="4" t="s">
        <v>78</v>
      </c>
      <c r="E30" s="56" t="s">
        <v>160</v>
      </c>
      <c r="F30" s="4"/>
      <c r="G30" s="4"/>
    </row>
    <row r="31" spans="1:7" ht="20.100000000000001" customHeight="1" x14ac:dyDescent="0.25">
      <c r="A31" s="18" t="s">
        <v>111</v>
      </c>
      <c r="B31" s="95"/>
      <c r="C31" s="96">
        <f>Företagsverksamhetens_fasta_kostnader_tabell[[#This Row],[I månaden]]*12</f>
        <v>0</v>
      </c>
      <c r="D31" s="4" t="s">
        <v>78</v>
      </c>
      <c r="E31" s="56" t="s">
        <v>160</v>
      </c>
      <c r="F31" s="4"/>
      <c r="G31" s="4"/>
    </row>
    <row r="32" spans="1:7" ht="20.100000000000001" customHeight="1" thickBot="1" x14ac:dyDescent="0.3">
      <c r="A32" s="20" t="s">
        <v>112</v>
      </c>
      <c r="B32" s="101"/>
      <c r="C32" s="102">
        <f>Företagsverksamhetens_fasta_kostnader_tabell[[#This Row],[I månaden]]*12</f>
        <v>0</v>
      </c>
      <c r="D32" s="4" t="s">
        <v>78</v>
      </c>
      <c r="E32" s="56" t="s">
        <v>160</v>
      </c>
      <c r="F32" s="4"/>
      <c r="G32" s="4"/>
    </row>
    <row r="33" spans="1:9" ht="30" customHeight="1" x14ac:dyDescent="0.25">
      <c r="A33" s="21" t="s">
        <v>113</v>
      </c>
      <c r="B33" s="103">
        <f>SUM(B14:B32)</f>
        <v>0</v>
      </c>
      <c r="C33" s="104">
        <f>SUM(C14:C32)</f>
        <v>0</v>
      </c>
      <c r="D33" s="4" t="s">
        <v>78</v>
      </c>
      <c r="E33" s="56" t="s">
        <v>160</v>
      </c>
      <c r="F33" s="4"/>
      <c r="G33" s="4"/>
    </row>
    <row r="34" spans="1:9" ht="30" customHeight="1" x14ac:dyDescent="0.25">
      <c r="A34" s="17" t="s">
        <v>114</v>
      </c>
      <c r="B34" s="9" t="s">
        <v>84</v>
      </c>
      <c r="C34" s="10" t="s">
        <v>85</v>
      </c>
      <c r="D34" s="4" t="s">
        <v>78</v>
      </c>
      <c r="E34" s="56" t="s">
        <v>160</v>
      </c>
      <c r="F34" s="4"/>
      <c r="G34" s="4"/>
    </row>
    <row r="35" spans="1:9" ht="20.100000000000001" customHeight="1" x14ac:dyDescent="0.25">
      <c r="A35" s="22" t="s">
        <v>115</v>
      </c>
      <c r="B35" s="105">
        <f>SUM(B12,B33)</f>
        <v>0</v>
      </c>
      <c r="C35" s="106">
        <f>SUM(C12,C33)</f>
        <v>0</v>
      </c>
      <c r="D35" s="4" t="s">
        <v>78</v>
      </c>
      <c r="E35" s="56" t="s">
        <v>160</v>
      </c>
      <c r="F35" s="4"/>
      <c r="G35" s="4"/>
    </row>
    <row r="36" spans="1:9" ht="20.100000000000001" customHeight="1" thickBot="1" x14ac:dyDescent="0.3">
      <c r="A36" s="15" t="s">
        <v>116</v>
      </c>
      <c r="B36" s="107">
        <f>B35/100*25.5</f>
        <v>0</v>
      </c>
      <c r="C36" s="102">
        <f>C35/100*25.5</f>
        <v>0</v>
      </c>
      <c r="D36" s="4" t="s">
        <v>78</v>
      </c>
      <c r="E36" s="56" t="s">
        <v>160</v>
      </c>
      <c r="F36" s="4"/>
      <c r="G36" s="4"/>
    </row>
    <row r="37" spans="1:9" ht="30" customHeight="1" x14ac:dyDescent="0.25">
      <c r="A37" s="23" t="s">
        <v>117</v>
      </c>
      <c r="B37" s="103">
        <f>SUM(B35,B36)</f>
        <v>0</v>
      </c>
      <c r="C37" s="104">
        <f>SUM(C35,C36)</f>
        <v>0</v>
      </c>
      <c r="D37" s="4" t="s">
        <v>78</v>
      </c>
      <c r="E37" s="56" t="s">
        <v>160</v>
      </c>
      <c r="F37" s="4"/>
      <c r="G37" s="4"/>
    </row>
    <row r="38" spans="1:9" ht="54.95" customHeight="1" x14ac:dyDescent="0.25">
      <c r="A38" s="8" t="s">
        <v>118</v>
      </c>
      <c r="B38" s="9" t="s">
        <v>119</v>
      </c>
      <c r="C38" s="10" t="s">
        <v>120</v>
      </c>
      <c r="D38" s="4" t="s">
        <v>78</v>
      </c>
      <c r="E38" s="56" t="s">
        <v>160</v>
      </c>
      <c r="F38" s="4"/>
      <c r="G38" s="4"/>
    </row>
    <row r="39" spans="1:9" ht="20.100000000000001" customHeight="1" x14ac:dyDescent="0.25">
      <c r="A39" s="11" t="s">
        <v>121</v>
      </c>
      <c r="B39" s="108">
        <f>C35</f>
        <v>0</v>
      </c>
      <c r="C39" s="94">
        <f>C37</f>
        <v>0</v>
      </c>
      <c r="D39" s="4" t="s">
        <v>78</v>
      </c>
      <c r="E39" s="56" t="s">
        <v>160</v>
      </c>
      <c r="F39" s="4"/>
      <c r="G39" s="4"/>
    </row>
    <row r="40" spans="1:9" ht="20.100000000000001" customHeight="1" x14ac:dyDescent="0.25">
      <c r="A40" s="24" t="s">
        <v>122</v>
      </c>
      <c r="B40" s="109">
        <f>B39/11</f>
        <v>0</v>
      </c>
      <c r="C40" s="96">
        <f>C39/11</f>
        <v>0</v>
      </c>
      <c r="D40" s="4" t="s">
        <v>78</v>
      </c>
      <c r="E40" s="56" t="s">
        <v>160</v>
      </c>
      <c r="F40" s="4"/>
      <c r="G40" s="4"/>
    </row>
    <row r="41" spans="1:9" ht="20.100000000000001" customHeight="1" x14ac:dyDescent="0.25">
      <c r="A41" s="18" t="s">
        <v>123</v>
      </c>
      <c r="B41" s="110">
        <f>B40/20</f>
        <v>0</v>
      </c>
      <c r="C41" s="96">
        <f>C40/20</f>
        <v>0</v>
      </c>
      <c r="D41" s="4" t="s">
        <v>78</v>
      </c>
      <c r="E41" s="56" t="s">
        <v>160</v>
      </c>
      <c r="F41" s="4"/>
      <c r="G41" s="4"/>
    </row>
    <row r="42" spans="1:9" ht="30" customHeight="1" x14ac:dyDescent="0.25">
      <c r="A42" s="25" t="s">
        <v>124</v>
      </c>
      <c r="B42" s="111">
        <f>B41/8</f>
        <v>0</v>
      </c>
      <c r="C42" s="112">
        <f>C41/8</f>
        <v>0</v>
      </c>
      <c r="D42" s="4" t="s">
        <v>78</v>
      </c>
      <c r="E42" s="56" t="s">
        <v>160</v>
      </c>
      <c r="F42" s="4"/>
      <c r="G42" s="4"/>
    </row>
    <row r="43" spans="1:9" ht="30" customHeight="1" x14ac:dyDescent="0.25">
      <c r="A43" s="17" t="s">
        <v>131</v>
      </c>
      <c r="B43" s="67" t="s">
        <v>125</v>
      </c>
      <c r="C43" s="26" t="s">
        <v>126</v>
      </c>
      <c r="D43" s="27" t="s">
        <v>127</v>
      </c>
      <c r="E43" s="56" t="s">
        <v>160</v>
      </c>
      <c r="F43" s="4"/>
      <c r="G43" s="4"/>
      <c r="H43" s="5"/>
      <c r="I43" s="5"/>
    </row>
    <row r="44" spans="1:9" ht="20.100000000000001" customHeight="1" x14ac:dyDescent="0.25">
      <c r="A44" s="11" t="s">
        <v>132</v>
      </c>
      <c r="B44" s="86" t="s">
        <v>134</v>
      </c>
      <c r="C44" s="158">
        <v>15</v>
      </c>
      <c r="D44" s="159">
        <v>10</v>
      </c>
      <c r="E44" s="56" t="s">
        <v>160</v>
      </c>
      <c r="F44" s="4"/>
      <c r="G44" s="4"/>
      <c r="H44" s="5"/>
      <c r="I44" s="5"/>
    </row>
    <row r="45" spans="1:9" ht="30" customHeight="1" x14ac:dyDescent="0.25">
      <c r="A45" s="25" t="s">
        <v>133</v>
      </c>
      <c r="B45" s="86" t="s">
        <v>134</v>
      </c>
      <c r="C45" s="160">
        <v>5</v>
      </c>
      <c r="D45" s="161">
        <v>5</v>
      </c>
      <c r="E45" s="56" t="s">
        <v>160</v>
      </c>
      <c r="F45" s="4"/>
      <c r="G45" s="4"/>
      <c r="H45" s="5"/>
      <c r="I45" s="5"/>
    </row>
    <row r="46" spans="1:9" ht="30" customHeight="1" x14ac:dyDescent="0.25">
      <c r="A46" s="17" t="s">
        <v>135</v>
      </c>
      <c r="B46" s="26" t="s">
        <v>128</v>
      </c>
      <c r="C46" s="26" t="s">
        <v>129</v>
      </c>
      <c r="D46" s="27" t="s">
        <v>130</v>
      </c>
      <c r="E46" s="56" t="s">
        <v>160</v>
      </c>
      <c r="F46" s="4"/>
      <c r="G46" s="4"/>
    </row>
    <row r="47" spans="1:9" ht="20.100000000000001" customHeight="1" x14ac:dyDescent="0.25">
      <c r="A47" s="11" t="s">
        <v>136</v>
      </c>
      <c r="B47" s="108">
        <f>C37</f>
        <v>0</v>
      </c>
      <c r="C47" s="108">
        <f>SUM(C48:C49)</f>
        <v>0</v>
      </c>
      <c r="D47" s="94">
        <f>SUM(D48:D49)</f>
        <v>0</v>
      </c>
      <c r="E47" s="56" t="s">
        <v>160</v>
      </c>
      <c r="F47" s="4"/>
      <c r="G47" s="4"/>
    </row>
    <row r="48" spans="1:9" ht="20.100000000000001" customHeight="1" x14ac:dyDescent="0.25">
      <c r="A48" s="18" t="s">
        <v>137</v>
      </c>
      <c r="B48" s="110">
        <f>C36</f>
        <v>0</v>
      </c>
      <c r="C48" s="110">
        <f>C49*0.255</f>
        <v>0</v>
      </c>
      <c r="D48" s="96">
        <f>D49*0.255</f>
        <v>0</v>
      </c>
      <c r="E48" s="56" t="s">
        <v>160</v>
      </c>
      <c r="F48" s="4"/>
      <c r="G48" s="4"/>
    </row>
    <row r="49" spans="1:7" ht="20.100000000000001" customHeight="1" x14ac:dyDescent="0.25">
      <c r="A49" s="28" t="s">
        <v>138</v>
      </c>
      <c r="B49" s="99">
        <f>B47-B48</f>
        <v>0</v>
      </c>
      <c r="C49" s="99">
        <f>Tre_års_resultaträkning_tabell[[#This Row],[år +1]]+(Tre_års_resultaträkning_tabell[[#This Row],[år +1]]/100*C44)</f>
        <v>0</v>
      </c>
      <c r="D49" s="100">
        <f>Tre_års_resultaträkning_tabell[[#This Row],[år +2]]+(Tre_års_resultaträkning_tabell[[#This Row],[år +2]]/100*D44)</f>
        <v>0</v>
      </c>
      <c r="E49" s="56" t="s">
        <v>160</v>
      </c>
      <c r="F49" s="4"/>
      <c r="G49" s="4"/>
    </row>
    <row r="50" spans="1:7" ht="20.100000000000001" customHeight="1" x14ac:dyDescent="0.25">
      <c r="A50" s="18" t="s">
        <v>139</v>
      </c>
      <c r="B50" s="110">
        <f>SUM(C16:C18)</f>
        <v>0</v>
      </c>
      <c r="C50" s="110">
        <f>Tre_års_resultaträkning_tabell[[#This Row],[år +1]]+(Tre_års_resultaträkning_tabell[[#This Row],[år +1]]/100*C45)</f>
        <v>0</v>
      </c>
      <c r="D50" s="96">
        <f>Tre_års_resultaträkning_tabell[[#This Row],[år +2]]+(Tre_års_resultaträkning_tabell[[#This Row],[år +2]]/100*D45)</f>
        <v>0</v>
      </c>
      <c r="E50" s="56" t="s">
        <v>160</v>
      </c>
      <c r="F50" s="4"/>
      <c r="G50" s="4"/>
    </row>
    <row r="51" spans="1:7" ht="20.100000000000001" customHeight="1" x14ac:dyDescent="0.25">
      <c r="A51" s="18" t="s">
        <v>140</v>
      </c>
      <c r="B51" s="110">
        <f>C19</f>
        <v>0</v>
      </c>
      <c r="C51" s="110">
        <f>Tre_års_resultaträkning_tabell[[#This Row],[år +1]]+(Tre_års_resultaträkning_tabell[[#This Row],[år +1]]/100*C45)</f>
        <v>0</v>
      </c>
      <c r="D51" s="96">
        <f>Tre_års_resultaträkning_tabell[[#This Row],[år +2]]+(Tre_års_resultaträkning_tabell[[#This Row],[år +2]]/100*D45)</f>
        <v>0</v>
      </c>
      <c r="E51" s="56" t="s">
        <v>160</v>
      </c>
      <c r="F51" s="4"/>
      <c r="G51" s="4"/>
    </row>
    <row r="52" spans="1:7" ht="20.100000000000001" customHeight="1" x14ac:dyDescent="0.25">
      <c r="A52" s="18" t="s">
        <v>101</v>
      </c>
      <c r="B52" s="110">
        <f>C21</f>
        <v>0</v>
      </c>
      <c r="C52" s="110">
        <f>Tre_års_resultaträkning_tabell[[#This Row],[år +1]]+(Tre_års_resultaträkning_tabell[[#This Row],[år +1]]/100*C45)</f>
        <v>0</v>
      </c>
      <c r="D52" s="96">
        <f>Tre_års_resultaträkning_tabell[[#This Row],[år +2]]+(Tre_års_resultaträkning_tabell[[#This Row],[år +2]]/100*D45)</f>
        <v>0</v>
      </c>
      <c r="E52" s="56" t="s">
        <v>160</v>
      </c>
      <c r="F52" s="4"/>
      <c r="G52" s="4"/>
    </row>
    <row r="53" spans="1:7" ht="20.100000000000001" customHeight="1" x14ac:dyDescent="0.25">
      <c r="A53" s="18" t="s">
        <v>141</v>
      </c>
      <c r="B53" s="110">
        <f>SUM(C14:C15,C20,C22:C32)</f>
        <v>0</v>
      </c>
      <c r="C53" s="110">
        <f>Tre_års_resultaträkning_tabell[[#This Row],[år +1]]+(Tre_års_resultaträkning_tabell[[#This Row],[år +1]]/100*C45)</f>
        <v>0</v>
      </c>
      <c r="D53" s="96">
        <f>Tre_års_resultaträkning_tabell[[#This Row],[år +2]]+(Tre_års_resultaträkning_tabell[[#This Row],[år +2]]/100*D45)</f>
        <v>0</v>
      </c>
      <c r="E53" s="56" t="s">
        <v>160</v>
      </c>
      <c r="F53" s="4"/>
      <c r="G53" s="4"/>
    </row>
    <row r="54" spans="1:7" ht="20.100000000000001" customHeight="1" x14ac:dyDescent="0.25">
      <c r="A54" s="28" t="s">
        <v>142</v>
      </c>
      <c r="B54" s="99">
        <f>B49-B50-B51-B52-B53</f>
        <v>0</v>
      </c>
      <c r="C54" s="99">
        <f>C49-C50-C51-C52-C53</f>
        <v>0</v>
      </c>
      <c r="D54" s="100">
        <f>D49-D50-D51-D52-D53</f>
        <v>0</v>
      </c>
      <c r="E54" s="56" t="s">
        <v>160</v>
      </c>
      <c r="F54" s="4"/>
      <c r="G54" s="4"/>
    </row>
    <row r="55" spans="1:7" ht="20.100000000000001" customHeight="1" x14ac:dyDescent="0.25">
      <c r="A55" s="18" t="s">
        <v>143</v>
      </c>
      <c r="B55" s="110">
        <f>SUM(C7,C11)</f>
        <v>0</v>
      </c>
      <c r="C55" s="110">
        <f>Tre_års_resultaträkning_tabell[[#This Row],[år +1]]</f>
        <v>0</v>
      </c>
      <c r="D55" s="110">
        <f>Tre_års_resultaträkning_tabell[[#This Row],[år +2]]</f>
        <v>0</v>
      </c>
      <c r="E55" s="56" t="s">
        <v>160</v>
      </c>
      <c r="F55" s="4"/>
      <c r="G55" s="4"/>
    </row>
    <row r="56" spans="1:7" ht="20.100000000000001" customHeight="1" x14ac:dyDescent="0.25">
      <c r="A56" s="18" t="s">
        <v>144</v>
      </c>
      <c r="B56" s="110">
        <f>C9</f>
        <v>0</v>
      </c>
      <c r="C56" s="110">
        <f>Tre_års_resultaträkning_tabell[[#This Row],[år +1]]+(Tre_års_resultaträkning_tabell[[#This Row],[år +1]]/100*C45)</f>
        <v>0</v>
      </c>
      <c r="D56" s="110">
        <f>Tre_års_resultaträkning_tabell[[#This Row],[år +2]]+(Tre_års_resultaträkning_tabell[[#This Row],[år +2]]/100*D45)</f>
        <v>0</v>
      </c>
      <c r="E56" s="56" t="s">
        <v>160</v>
      </c>
      <c r="F56" s="4"/>
      <c r="G56" s="4"/>
    </row>
    <row r="57" spans="1:7" ht="20.100000000000001" customHeight="1" x14ac:dyDescent="0.25">
      <c r="A57" s="28" t="s">
        <v>145</v>
      </c>
      <c r="B57" s="99">
        <f>B54-B55-B56</f>
        <v>0</v>
      </c>
      <c r="C57" s="99">
        <f t="shared" ref="C57:D57" si="0">C54-C55-C56</f>
        <v>0</v>
      </c>
      <c r="D57" s="100">
        <f t="shared" si="0"/>
        <v>0</v>
      </c>
      <c r="E57" s="56" t="s">
        <v>160</v>
      </c>
      <c r="F57" s="4"/>
      <c r="G57" s="4"/>
    </row>
    <row r="58" spans="1:7" ht="20.100000000000001" customHeight="1" x14ac:dyDescent="0.25">
      <c r="A58" s="18" t="s">
        <v>146</v>
      </c>
      <c r="B58" s="95"/>
      <c r="C58" s="95"/>
      <c r="D58" s="113"/>
      <c r="E58" s="56" t="s">
        <v>160</v>
      </c>
      <c r="F58" s="4"/>
      <c r="G58" s="4"/>
    </row>
    <row r="59" spans="1:7" ht="20.100000000000001" customHeight="1" x14ac:dyDescent="0.25">
      <c r="A59" s="28" t="s">
        <v>147</v>
      </c>
      <c r="B59" s="99">
        <f>B57-B58</f>
        <v>0</v>
      </c>
      <c r="C59" s="99">
        <f t="shared" ref="C59:D59" si="1">C57-C58</f>
        <v>0</v>
      </c>
      <c r="D59" s="100">
        <f t="shared" si="1"/>
        <v>0</v>
      </c>
      <c r="E59" s="56" t="s">
        <v>160</v>
      </c>
      <c r="F59" s="4"/>
      <c r="G59" s="4"/>
    </row>
    <row r="60" spans="1:7" ht="20.100000000000001" customHeight="1" thickBot="1" x14ac:dyDescent="0.3">
      <c r="A60" s="20" t="s">
        <v>148</v>
      </c>
      <c r="B60" s="101"/>
      <c r="C60" s="101"/>
      <c r="D60" s="114"/>
      <c r="E60" s="56" t="s">
        <v>160</v>
      </c>
      <c r="F60" s="4"/>
      <c r="G60" s="4"/>
    </row>
    <row r="61" spans="1:7" ht="30" customHeight="1" x14ac:dyDescent="0.25">
      <c r="A61" s="21" t="s">
        <v>149</v>
      </c>
      <c r="B61" s="103">
        <f>SUM(B59:B60)</f>
        <v>0</v>
      </c>
      <c r="C61" s="103">
        <f t="shared" ref="C61:D61" si="2">SUM(C59:C60)</f>
        <v>0</v>
      </c>
      <c r="D61" s="103">
        <f t="shared" si="2"/>
        <v>0</v>
      </c>
      <c r="E61" s="56" t="s">
        <v>160</v>
      </c>
      <c r="F61" s="4"/>
      <c r="G61" s="4"/>
    </row>
    <row r="62" spans="1:7" ht="30" customHeight="1" x14ac:dyDescent="0.25">
      <c r="A62" s="58" t="s">
        <v>150</v>
      </c>
      <c r="B62" s="4" t="s">
        <v>78</v>
      </c>
      <c r="C62" s="4" t="s">
        <v>78</v>
      </c>
      <c r="D62" s="4" t="s">
        <v>78</v>
      </c>
      <c r="E62" s="56" t="s">
        <v>160</v>
      </c>
      <c r="F62" s="4"/>
      <c r="G62" s="4"/>
    </row>
    <row r="63" spans="1:7" ht="120" customHeight="1" x14ac:dyDescent="0.25">
      <c r="A63" s="57" t="s">
        <v>151</v>
      </c>
      <c r="B63" s="4" t="s">
        <v>78</v>
      </c>
      <c r="C63" s="4" t="s">
        <v>78</v>
      </c>
      <c r="D63" s="4" t="s">
        <v>78</v>
      </c>
      <c r="E63" s="56" t="s">
        <v>160</v>
      </c>
      <c r="F63" s="4"/>
      <c r="G63" s="4"/>
    </row>
    <row r="64" spans="1:7" ht="102.95" customHeight="1" x14ac:dyDescent="0.25">
      <c r="A64" s="57" t="s">
        <v>152</v>
      </c>
      <c r="B64" s="4" t="s">
        <v>78</v>
      </c>
      <c r="C64" s="4" t="s">
        <v>78</v>
      </c>
      <c r="D64" s="4" t="s">
        <v>78</v>
      </c>
      <c r="E64" s="56" t="s">
        <v>160</v>
      </c>
      <c r="F64" s="4"/>
      <c r="G64" s="4"/>
    </row>
    <row r="65" spans="1:7" ht="150" customHeight="1" x14ac:dyDescent="0.25">
      <c r="A65" s="57" t="s">
        <v>153</v>
      </c>
      <c r="B65" s="4" t="s">
        <v>78</v>
      </c>
      <c r="C65" s="4" t="s">
        <v>78</v>
      </c>
      <c r="D65" s="4" t="s">
        <v>78</v>
      </c>
      <c r="E65" s="56" t="s">
        <v>160</v>
      </c>
      <c r="F65" s="4"/>
      <c r="G65" s="4"/>
    </row>
    <row r="66" spans="1:7" ht="84" customHeight="1" x14ac:dyDescent="0.25">
      <c r="A66" s="57" t="s">
        <v>154</v>
      </c>
      <c r="B66" s="4" t="s">
        <v>78</v>
      </c>
      <c r="C66" s="4" t="s">
        <v>78</v>
      </c>
      <c r="D66" s="4" t="s">
        <v>78</v>
      </c>
      <c r="E66" s="56" t="s">
        <v>160</v>
      </c>
      <c r="F66" s="4"/>
      <c r="G66" s="4"/>
    </row>
    <row r="67" spans="1:7" ht="120" customHeight="1" x14ac:dyDescent="0.25">
      <c r="A67" s="57" t="s">
        <v>273</v>
      </c>
      <c r="B67" s="4" t="s">
        <v>78</v>
      </c>
      <c r="C67" s="4" t="s">
        <v>78</v>
      </c>
      <c r="D67" s="4" t="s">
        <v>78</v>
      </c>
      <c r="E67" s="56" t="s">
        <v>160</v>
      </c>
      <c r="F67" s="4"/>
      <c r="G67" s="4"/>
    </row>
    <row r="68" spans="1:7" ht="75" customHeight="1" x14ac:dyDescent="0.25">
      <c r="A68" s="57" t="s">
        <v>155</v>
      </c>
      <c r="B68" s="4" t="s">
        <v>78</v>
      </c>
      <c r="C68" s="4" t="s">
        <v>78</v>
      </c>
      <c r="D68" s="4" t="s">
        <v>78</v>
      </c>
      <c r="E68" s="56" t="s">
        <v>160</v>
      </c>
      <c r="F68" s="4"/>
      <c r="G68" s="4"/>
    </row>
    <row r="69" spans="1:7" ht="45" customHeight="1" x14ac:dyDescent="0.25">
      <c r="A69" s="57" t="s">
        <v>156</v>
      </c>
      <c r="B69" s="4" t="s">
        <v>78</v>
      </c>
      <c r="C69" s="4" t="s">
        <v>78</v>
      </c>
      <c r="D69" s="4" t="s">
        <v>78</v>
      </c>
      <c r="E69" s="56" t="s">
        <v>160</v>
      </c>
      <c r="F69" s="4"/>
      <c r="G69" s="4"/>
    </row>
    <row r="70" spans="1:7" ht="60" customHeight="1" x14ac:dyDescent="0.25">
      <c r="A70" s="57" t="s">
        <v>157</v>
      </c>
      <c r="B70" s="4" t="s">
        <v>78</v>
      </c>
      <c r="C70" s="4" t="s">
        <v>78</v>
      </c>
      <c r="D70" s="4" t="s">
        <v>78</v>
      </c>
      <c r="E70" s="56" t="s">
        <v>160</v>
      </c>
      <c r="F70" s="4"/>
      <c r="G70" s="4"/>
    </row>
    <row r="71" spans="1:7" ht="99.95" customHeight="1" x14ac:dyDescent="0.25">
      <c r="A71" s="57" t="s">
        <v>158</v>
      </c>
      <c r="B71" s="4" t="s">
        <v>78</v>
      </c>
      <c r="C71" s="4" t="s">
        <v>78</v>
      </c>
      <c r="D71" s="4" t="s">
        <v>78</v>
      </c>
      <c r="E71" s="56" t="s">
        <v>160</v>
      </c>
      <c r="F71" s="4"/>
      <c r="G71" s="4"/>
    </row>
    <row r="72" spans="1:7" ht="60" customHeight="1" x14ac:dyDescent="0.25">
      <c r="A72" s="60" t="s">
        <v>159</v>
      </c>
      <c r="B72" s="4" t="s">
        <v>164</v>
      </c>
      <c r="C72" s="4" t="s">
        <v>78</v>
      </c>
      <c r="D72" s="4" t="s">
        <v>78</v>
      </c>
      <c r="E72" s="56" t="s">
        <v>160</v>
      </c>
      <c r="F72" s="4"/>
      <c r="G72" s="4"/>
    </row>
    <row r="73" spans="1:7" ht="18.75" x14ac:dyDescent="0.25">
      <c r="A73" s="92" t="s">
        <v>3</v>
      </c>
      <c r="B73" s="4" t="s">
        <v>78</v>
      </c>
      <c r="C73" s="4" t="s">
        <v>78</v>
      </c>
      <c r="D73" s="4" t="s">
        <v>78</v>
      </c>
      <c r="E73" s="56" t="s">
        <v>160</v>
      </c>
      <c r="F73" s="4"/>
      <c r="G73" s="4"/>
    </row>
    <row r="74" spans="1:7" ht="3.95" customHeight="1" x14ac:dyDescent="0.25">
      <c r="A74" s="56" t="s">
        <v>161</v>
      </c>
      <c r="B74" s="56" t="s">
        <v>161</v>
      </c>
      <c r="C74" s="56" t="s">
        <v>161</v>
      </c>
      <c r="D74" s="56" t="s">
        <v>161</v>
      </c>
      <c r="E74" s="56" t="s">
        <v>161</v>
      </c>
      <c r="F74" s="4"/>
      <c r="G74" s="4"/>
    </row>
    <row r="75" spans="1:7" ht="18.75" x14ac:dyDescent="0.25">
      <c r="B75" s="5"/>
      <c r="C75" s="5"/>
      <c r="D75" s="5"/>
      <c r="E75" s="5"/>
      <c r="F75" s="4"/>
      <c r="G75" s="4"/>
    </row>
    <row r="76" spans="1:7" ht="18.75" x14ac:dyDescent="0.25">
      <c r="F76" s="4"/>
      <c r="G76" s="4"/>
    </row>
    <row r="77" spans="1:7" ht="18.75" x14ac:dyDescent="0.25">
      <c r="F77" s="4"/>
      <c r="G77" s="4"/>
    </row>
    <row r="78" spans="1:7" ht="18.75" x14ac:dyDescent="0.25">
      <c r="F78" s="4"/>
      <c r="G78" s="4"/>
    </row>
    <row r="79" spans="1:7" ht="18.75" x14ac:dyDescent="0.25">
      <c r="F79" s="4"/>
      <c r="G79" s="4"/>
    </row>
    <row r="80" spans="1:7" ht="18.75" x14ac:dyDescent="0.25">
      <c r="F80" s="4"/>
      <c r="G80" s="4"/>
    </row>
    <row r="81" spans="6:7" ht="18.75" x14ac:dyDescent="0.25">
      <c r="F81" s="4"/>
      <c r="G81" s="4"/>
    </row>
    <row r="82" spans="6:7" ht="18.75" x14ac:dyDescent="0.25">
      <c r="F82" s="4"/>
      <c r="G82" s="4"/>
    </row>
    <row r="83" spans="6:7" ht="18.75" x14ac:dyDescent="0.25">
      <c r="F83" s="4"/>
      <c r="G83" s="4"/>
    </row>
    <row r="84" spans="6:7" ht="18.75" x14ac:dyDescent="0.25">
      <c r="F84" s="4"/>
      <c r="G84" s="4"/>
    </row>
    <row r="85" spans="6:7" ht="18.75" x14ac:dyDescent="0.25">
      <c r="F85" s="4"/>
      <c r="G85" s="4"/>
    </row>
  </sheetData>
  <sheetProtection sheet="1" objects="1" scenarios="1"/>
  <hyperlinks>
    <hyperlink ref="A4" r:id="rId1" tooltip="Verohallinnon sivujen veroprosenttilaskuri" xr:uid="{934B51DD-C844-964D-8063-13D649514959}"/>
  </hyperlinks>
  <pageMargins left="0.7" right="0.7" top="0.75" bottom="0.75" header="0.3" footer="0.3"/>
  <pageSetup paperSize="9" orientation="portrait" horizontalDpi="0" verticalDpi="0"/>
  <drawing r:id="rId2"/>
  <legacyDrawing r:id="rId3"/>
  <tableParts count="7">
    <tablePart r:id="rId4"/>
    <tablePart r:id="rId5"/>
    <tablePart r:id="rId6"/>
    <tablePart r:id="rId7"/>
    <tablePart r:id="rId8"/>
    <tablePart r:id="rId9"/>
    <tablePart r:id="rId10"/>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A3323-0008-A040-AC50-8CBEEC22E2AB}">
  <dimension ref="A1:Q31"/>
  <sheetViews>
    <sheetView zoomScaleNormal="100" workbookViewId="0">
      <selection activeCell="B1" sqref="B1"/>
    </sheetView>
  </sheetViews>
  <sheetFormatPr defaultColWidth="27" defaultRowHeight="18" x14ac:dyDescent="0.25"/>
  <cols>
    <col min="1" max="1" width="71.875" style="2" customWidth="1"/>
    <col min="2" max="13" width="20.875" style="2" customWidth="1"/>
    <col min="14" max="14" width="25.875" style="2" customWidth="1"/>
    <col min="15" max="15" width="0.625" style="2" customWidth="1"/>
    <col min="16" max="16384" width="27" style="2"/>
  </cols>
  <sheetData>
    <row r="1" spans="1:17" ht="60" customHeight="1" x14ac:dyDescent="0.25">
      <c r="A1" s="4" t="s">
        <v>165</v>
      </c>
      <c r="B1" s="39" t="s">
        <v>4</v>
      </c>
      <c r="C1" s="39" t="s">
        <v>4</v>
      </c>
      <c r="D1" s="39" t="s">
        <v>4</v>
      </c>
      <c r="E1" s="39" t="s">
        <v>4</v>
      </c>
      <c r="F1" s="39" t="s">
        <v>4</v>
      </c>
      <c r="G1" s="39" t="s">
        <v>4</v>
      </c>
      <c r="H1" s="39" t="s">
        <v>4</v>
      </c>
      <c r="I1" s="39" t="s">
        <v>4</v>
      </c>
      <c r="J1" s="39" t="s">
        <v>4</v>
      </c>
      <c r="K1" s="39" t="s">
        <v>4</v>
      </c>
      <c r="L1" s="39" t="s">
        <v>4</v>
      </c>
      <c r="M1" s="39" t="s">
        <v>4</v>
      </c>
      <c r="N1" s="39" t="s">
        <v>4</v>
      </c>
      <c r="O1" s="56" t="s">
        <v>5</v>
      </c>
    </row>
    <row r="2" spans="1:17" ht="50.1" customHeight="1" x14ac:dyDescent="0.25">
      <c r="A2" s="63" t="s">
        <v>166</v>
      </c>
      <c r="B2" s="39" t="s">
        <v>4</v>
      </c>
      <c r="C2" s="39" t="s">
        <v>4</v>
      </c>
      <c r="D2" s="39" t="s">
        <v>4</v>
      </c>
      <c r="E2" s="39" t="s">
        <v>4</v>
      </c>
      <c r="F2" s="39" t="s">
        <v>4</v>
      </c>
      <c r="G2" s="39" t="s">
        <v>4</v>
      </c>
      <c r="H2" s="39" t="s">
        <v>4</v>
      </c>
      <c r="I2" s="39" t="s">
        <v>4</v>
      </c>
      <c r="J2" s="39" t="s">
        <v>4</v>
      </c>
      <c r="K2" s="39" t="s">
        <v>4</v>
      </c>
      <c r="L2" s="39" t="s">
        <v>4</v>
      </c>
      <c r="M2" s="39" t="s">
        <v>4</v>
      </c>
      <c r="N2" s="39" t="s">
        <v>4</v>
      </c>
      <c r="O2" s="56" t="s">
        <v>5</v>
      </c>
    </row>
    <row r="3" spans="1:17" ht="50.1" customHeight="1" x14ac:dyDescent="0.25">
      <c r="A3" s="72" t="s">
        <v>167</v>
      </c>
      <c r="B3" s="209" t="s">
        <v>193</v>
      </c>
      <c r="C3" s="210"/>
      <c r="D3" s="209" t="s">
        <v>194</v>
      </c>
      <c r="E3" s="210"/>
      <c r="F3" s="209" t="s">
        <v>195</v>
      </c>
      <c r="G3" s="210"/>
      <c r="H3" s="209" t="s">
        <v>196</v>
      </c>
      <c r="I3" s="210"/>
      <c r="J3" s="209" t="s">
        <v>197</v>
      </c>
      <c r="K3" s="210"/>
      <c r="L3" s="209" t="s">
        <v>198</v>
      </c>
      <c r="M3" s="210"/>
      <c r="N3" s="39" t="s">
        <v>4</v>
      </c>
      <c r="O3" s="56" t="s">
        <v>5</v>
      </c>
    </row>
    <row r="4" spans="1:17" ht="50.1" customHeight="1" x14ac:dyDescent="0.25">
      <c r="A4" s="73" t="s">
        <v>168</v>
      </c>
      <c r="B4" s="74" t="s">
        <v>187</v>
      </c>
      <c r="C4" s="75" t="s">
        <v>199</v>
      </c>
      <c r="D4" s="74" t="s">
        <v>188</v>
      </c>
      <c r="E4" s="75" t="s">
        <v>200</v>
      </c>
      <c r="F4" s="74" t="s">
        <v>189</v>
      </c>
      <c r="G4" s="75" t="s">
        <v>201</v>
      </c>
      <c r="H4" s="74" t="s">
        <v>190</v>
      </c>
      <c r="I4" s="75" t="s">
        <v>202</v>
      </c>
      <c r="J4" s="74" t="s">
        <v>191</v>
      </c>
      <c r="K4" s="75" t="s">
        <v>203</v>
      </c>
      <c r="L4" s="74" t="s">
        <v>192</v>
      </c>
      <c r="M4" s="75" t="s">
        <v>204</v>
      </c>
      <c r="N4" s="65" t="s">
        <v>4</v>
      </c>
      <c r="O4" s="56" t="s">
        <v>5</v>
      </c>
    </row>
    <row r="5" spans="1:17" ht="20.100000000000001" customHeight="1" thickBot="1" x14ac:dyDescent="0.3">
      <c r="A5" s="64" t="s">
        <v>169</v>
      </c>
      <c r="B5" s="119"/>
      <c r="C5" s="120"/>
      <c r="D5" s="119"/>
      <c r="E5" s="120"/>
      <c r="F5" s="119"/>
      <c r="G5" s="120"/>
      <c r="H5" s="119"/>
      <c r="I5" s="120"/>
      <c r="J5" s="119"/>
      <c r="K5" s="120"/>
      <c r="L5" s="119"/>
      <c r="M5" s="120"/>
      <c r="N5" s="69" t="s">
        <v>4</v>
      </c>
      <c r="O5" s="56" t="s">
        <v>5</v>
      </c>
    </row>
    <row r="6" spans="1:17" ht="30" customHeight="1" x14ac:dyDescent="0.25">
      <c r="A6" s="55" t="s">
        <v>170</v>
      </c>
      <c r="B6" s="121" t="s">
        <v>2</v>
      </c>
      <c r="C6" s="122">
        <f>B5-C5</f>
        <v>0</v>
      </c>
      <c r="D6" s="121" t="s">
        <v>4</v>
      </c>
      <c r="E6" s="122">
        <f>D5-E5</f>
        <v>0</v>
      </c>
      <c r="F6" s="121" t="s">
        <v>4</v>
      </c>
      <c r="G6" s="122">
        <f>F5-G5</f>
        <v>0</v>
      </c>
      <c r="H6" s="121" t="s">
        <v>4</v>
      </c>
      <c r="I6" s="122">
        <f>H5-I5</f>
        <v>0</v>
      </c>
      <c r="J6" s="121" t="s">
        <v>4</v>
      </c>
      <c r="K6" s="122">
        <f>J5-K5</f>
        <v>0</v>
      </c>
      <c r="L6" s="121" t="s">
        <v>4</v>
      </c>
      <c r="M6" s="122">
        <f>L5-M5</f>
        <v>0</v>
      </c>
      <c r="N6" s="70" t="s">
        <v>4</v>
      </c>
      <c r="O6" s="56" t="s">
        <v>5</v>
      </c>
    </row>
    <row r="7" spans="1:17" ht="50.1" customHeight="1" x14ac:dyDescent="0.25">
      <c r="A7" s="66" t="s">
        <v>171</v>
      </c>
      <c r="B7" s="68" t="s">
        <v>205</v>
      </c>
      <c r="C7" s="71" t="s">
        <v>211</v>
      </c>
      <c r="D7" s="68" t="s">
        <v>206</v>
      </c>
      <c r="E7" s="71" t="s">
        <v>212</v>
      </c>
      <c r="F7" s="68" t="s">
        <v>207</v>
      </c>
      <c r="G7" s="71" t="s">
        <v>213</v>
      </c>
      <c r="H7" s="68" t="s">
        <v>208</v>
      </c>
      <c r="I7" s="71" t="s">
        <v>214</v>
      </c>
      <c r="J7" s="68" t="s">
        <v>209</v>
      </c>
      <c r="K7" s="71" t="s">
        <v>215</v>
      </c>
      <c r="L7" s="68" t="s">
        <v>210</v>
      </c>
      <c r="M7" s="71" t="s">
        <v>216</v>
      </c>
      <c r="N7" s="67" t="s">
        <v>217</v>
      </c>
      <c r="O7" s="56" t="s">
        <v>5</v>
      </c>
      <c r="P7" s="4"/>
      <c r="Q7" s="5"/>
    </row>
    <row r="8" spans="1:17" ht="20.100000000000001" customHeight="1" x14ac:dyDescent="0.25">
      <c r="A8" s="50" t="s">
        <v>172</v>
      </c>
      <c r="B8" s="202"/>
      <c r="C8" s="123">
        <f t="shared" ref="C8:C13" si="0">B8*C$6</f>
        <v>0</v>
      </c>
      <c r="D8" s="202"/>
      <c r="E8" s="123">
        <f t="shared" ref="E8:E13" si="1">D8*E$6</f>
        <v>0</v>
      </c>
      <c r="F8" s="202"/>
      <c r="G8" s="123">
        <f t="shared" ref="G8:G13" si="2">F8*G$6</f>
        <v>0</v>
      </c>
      <c r="H8" s="202"/>
      <c r="I8" s="123">
        <f t="shared" ref="I8:I13" si="3">H8*I$6</f>
        <v>0</v>
      </c>
      <c r="J8" s="202"/>
      <c r="K8" s="123">
        <f t="shared" ref="K8:K13" si="4">J8*K$6</f>
        <v>0</v>
      </c>
      <c r="L8" s="202"/>
      <c r="M8" s="123">
        <f t="shared" ref="M8:M13" si="5">L8*M$6</f>
        <v>0</v>
      </c>
      <c r="N8" s="124">
        <f>SUM(Produkter_sålda_tabell[[#This Row],[Täckning 
totalt 1]],Produkter_sålda_tabell[[#This Row],[Täckning 
totalt 2]],Produkter_sålda_tabell[[#This Row],[Täckning 
totalt 3]],Produkter_sålda_tabell[[#This Row],[Täckning 
totalt 4]],Produkter_sålda_tabell[[#This Row],[Täckning 
totalt 5]],Produkter_sålda_tabell[[#This Row],[Täckning 
totalt 6]])</f>
        <v>0</v>
      </c>
      <c r="O8" s="56" t="s">
        <v>5</v>
      </c>
      <c r="P8" s="4"/>
      <c r="Q8" s="5"/>
    </row>
    <row r="9" spans="1:17" ht="20.100000000000001" customHeight="1" x14ac:dyDescent="0.25">
      <c r="A9" s="51" t="s">
        <v>173</v>
      </c>
      <c r="B9" s="203"/>
      <c r="C9" s="125">
        <f t="shared" si="0"/>
        <v>0</v>
      </c>
      <c r="D9" s="203"/>
      <c r="E9" s="125">
        <f t="shared" si="1"/>
        <v>0</v>
      </c>
      <c r="F9" s="203"/>
      <c r="G9" s="125">
        <f t="shared" si="2"/>
        <v>0</v>
      </c>
      <c r="H9" s="203"/>
      <c r="I9" s="125">
        <f t="shared" si="3"/>
        <v>0</v>
      </c>
      <c r="J9" s="203"/>
      <c r="K9" s="125">
        <f t="shared" si="4"/>
        <v>0</v>
      </c>
      <c r="L9" s="203"/>
      <c r="M9" s="125">
        <f t="shared" si="5"/>
        <v>0</v>
      </c>
      <c r="N9" s="126">
        <f>SUM(Produkter_sålda_tabell[[#This Row],[Täckning 
totalt 1]],Produkter_sålda_tabell[[#This Row],[Täckning 
totalt 2]],Produkter_sålda_tabell[[#This Row],[Täckning 
totalt 3]],Produkter_sålda_tabell[[#This Row],[Täckning 
totalt 4]],Produkter_sålda_tabell[[#This Row],[Täckning 
totalt 5]],Produkter_sålda_tabell[[#This Row],[Täckning 
totalt 6]])</f>
        <v>0</v>
      </c>
      <c r="O9" s="56" t="s">
        <v>5</v>
      </c>
      <c r="P9" s="4"/>
      <c r="Q9" s="5"/>
    </row>
    <row r="10" spans="1:17" ht="20.100000000000001" customHeight="1" x14ac:dyDescent="0.25">
      <c r="A10" s="52" t="s">
        <v>174</v>
      </c>
      <c r="B10" s="204"/>
      <c r="C10" s="127">
        <f t="shared" si="0"/>
        <v>0</v>
      </c>
      <c r="D10" s="204"/>
      <c r="E10" s="127">
        <f t="shared" si="1"/>
        <v>0</v>
      </c>
      <c r="F10" s="204"/>
      <c r="G10" s="127">
        <f t="shared" si="2"/>
        <v>0</v>
      </c>
      <c r="H10" s="204"/>
      <c r="I10" s="127">
        <f t="shared" si="3"/>
        <v>0</v>
      </c>
      <c r="J10" s="204"/>
      <c r="K10" s="127">
        <f t="shared" si="4"/>
        <v>0</v>
      </c>
      <c r="L10" s="204"/>
      <c r="M10" s="127">
        <f t="shared" si="5"/>
        <v>0</v>
      </c>
      <c r="N10" s="128">
        <f>SUM(Produkter_sålda_tabell[[#This Row],[Täckning 
totalt 1]],Produkter_sålda_tabell[[#This Row],[Täckning 
totalt 2]],Produkter_sålda_tabell[[#This Row],[Täckning 
totalt 3]],Produkter_sålda_tabell[[#This Row],[Täckning 
totalt 4]],Produkter_sålda_tabell[[#This Row],[Täckning 
totalt 5]],Produkter_sålda_tabell[[#This Row],[Täckning 
totalt 6]])</f>
        <v>0</v>
      </c>
      <c r="O10" s="56" t="s">
        <v>5</v>
      </c>
      <c r="P10" s="4"/>
      <c r="Q10" s="5"/>
    </row>
    <row r="11" spans="1:17" ht="20.100000000000001" customHeight="1" x14ac:dyDescent="0.25">
      <c r="A11" s="53" t="s">
        <v>175</v>
      </c>
      <c r="B11" s="205"/>
      <c r="C11" s="129">
        <f t="shared" si="0"/>
        <v>0</v>
      </c>
      <c r="D11" s="205"/>
      <c r="E11" s="129">
        <f t="shared" si="1"/>
        <v>0</v>
      </c>
      <c r="F11" s="205"/>
      <c r="G11" s="129">
        <f t="shared" si="2"/>
        <v>0</v>
      </c>
      <c r="H11" s="205"/>
      <c r="I11" s="129">
        <f t="shared" si="3"/>
        <v>0</v>
      </c>
      <c r="J11" s="205"/>
      <c r="K11" s="129">
        <f t="shared" si="4"/>
        <v>0</v>
      </c>
      <c r="L11" s="205"/>
      <c r="M11" s="129">
        <f t="shared" si="5"/>
        <v>0</v>
      </c>
      <c r="N11" s="130">
        <f>SUM(Produkter_sålda_tabell[[#This Row],[Täckning 
totalt 1]],Produkter_sålda_tabell[[#This Row],[Täckning 
totalt 2]],Produkter_sålda_tabell[[#This Row],[Täckning 
totalt 3]],Produkter_sålda_tabell[[#This Row],[Täckning 
totalt 4]],Produkter_sålda_tabell[[#This Row],[Täckning 
totalt 5]],Produkter_sålda_tabell[[#This Row],[Täckning 
totalt 6]])</f>
        <v>0</v>
      </c>
      <c r="O11" s="56" t="s">
        <v>5</v>
      </c>
      <c r="P11" s="4"/>
      <c r="Q11" s="5"/>
    </row>
    <row r="12" spans="1:17" ht="20.100000000000001" customHeight="1" x14ac:dyDescent="0.25">
      <c r="A12" s="51" t="s">
        <v>176</v>
      </c>
      <c r="B12" s="203"/>
      <c r="C12" s="125">
        <f t="shared" si="0"/>
        <v>0</v>
      </c>
      <c r="D12" s="203"/>
      <c r="E12" s="125">
        <f t="shared" si="1"/>
        <v>0</v>
      </c>
      <c r="F12" s="203"/>
      <c r="G12" s="125">
        <f t="shared" si="2"/>
        <v>0</v>
      </c>
      <c r="H12" s="203"/>
      <c r="I12" s="125">
        <f t="shared" si="3"/>
        <v>0</v>
      </c>
      <c r="J12" s="203"/>
      <c r="K12" s="125">
        <f t="shared" si="4"/>
        <v>0</v>
      </c>
      <c r="L12" s="203"/>
      <c r="M12" s="125">
        <f t="shared" si="5"/>
        <v>0</v>
      </c>
      <c r="N12" s="126">
        <f>SUM(Produkter_sålda_tabell[[#This Row],[Täckning 
totalt 1]],Produkter_sålda_tabell[[#This Row],[Täckning 
totalt 2]],Produkter_sålda_tabell[[#This Row],[Täckning 
totalt 3]],Produkter_sålda_tabell[[#This Row],[Täckning 
totalt 4]],Produkter_sålda_tabell[[#This Row],[Täckning 
totalt 5]],Produkter_sålda_tabell[[#This Row],[Täckning 
totalt 6]])</f>
        <v>0</v>
      </c>
      <c r="O12" s="56" t="s">
        <v>5</v>
      </c>
      <c r="P12" s="4"/>
      <c r="Q12" s="5"/>
    </row>
    <row r="13" spans="1:17" ht="20.100000000000001" customHeight="1" thickBot="1" x14ac:dyDescent="0.3">
      <c r="A13" s="54" t="s">
        <v>177</v>
      </c>
      <c r="B13" s="206"/>
      <c r="C13" s="127">
        <f t="shared" si="0"/>
        <v>0</v>
      </c>
      <c r="D13" s="206"/>
      <c r="E13" s="127">
        <f t="shared" si="1"/>
        <v>0</v>
      </c>
      <c r="F13" s="206"/>
      <c r="G13" s="127">
        <f t="shared" si="2"/>
        <v>0</v>
      </c>
      <c r="H13" s="206"/>
      <c r="I13" s="127">
        <f t="shared" si="3"/>
        <v>0</v>
      </c>
      <c r="J13" s="206"/>
      <c r="K13" s="127">
        <f t="shared" si="4"/>
        <v>0</v>
      </c>
      <c r="L13" s="206"/>
      <c r="M13" s="127">
        <f t="shared" si="5"/>
        <v>0</v>
      </c>
      <c r="N13" s="128">
        <f>SUM(Produkter_sålda_tabell[[#This Row],[Täckning 
totalt 1]],Produkter_sålda_tabell[[#This Row],[Täckning 
totalt 2]],Produkter_sålda_tabell[[#This Row],[Täckning 
totalt 3]],Produkter_sålda_tabell[[#This Row],[Täckning 
totalt 4]],Produkter_sålda_tabell[[#This Row],[Täckning 
totalt 5]],Produkter_sålda_tabell[[#This Row],[Täckning 
totalt 6]])</f>
        <v>0</v>
      </c>
      <c r="O13" s="56" t="s">
        <v>5</v>
      </c>
      <c r="P13" s="4"/>
      <c r="Q13" s="5"/>
    </row>
    <row r="14" spans="1:17" ht="30" customHeight="1" thickBot="1" x14ac:dyDescent="0.3">
      <c r="A14" s="176" t="s">
        <v>178</v>
      </c>
      <c r="B14" s="207">
        <f>SUM(B8:B13)</f>
        <v>0</v>
      </c>
      <c r="C14" s="177" t="s">
        <v>4</v>
      </c>
      <c r="D14" s="207">
        <f t="shared" ref="D14:L14" si="6">SUM(D8:D13)</f>
        <v>0</v>
      </c>
      <c r="E14" s="177" t="s">
        <v>4</v>
      </c>
      <c r="F14" s="207">
        <f t="shared" si="6"/>
        <v>0</v>
      </c>
      <c r="G14" s="177" t="s">
        <v>4</v>
      </c>
      <c r="H14" s="207">
        <f t="shared" si="6"/>
        <v>0</v>
      </c>
      <c r="I14" s="177" t="s">
        <v>4</v>
      </c>
      <c r="J14" s="207">
        <f t="shared" si="6"/>
        <v>0</v>
      </c>
      <c r="K14" s="177" t="s">
        <v>4</v>
      </c>
      <c r="L14" s="208">
        <f t="shared" si="6"/>
        <v>0</v>
      </c>
      <c r="M14" s="177" t="s">
        <v>4</v>
      </c>
      <c r="N14" s="178" t="str">
        <f>CONCATENATE(SUM(Produkter_sålda_tabell[[#This Row],[Antal 1]],Produkter_sålda_tabell[[#This Row],[Antal 2]],Produkter_sålda_tabell[[#This Row],[Antal 3]],Produkter_sålda_tabell[[#This Row],[Antal 4]],Produkter_sålda_tabell[[#This Row],[Antal 5]],Produkter_sålda_tabell[[#This Row],[Antal 6]])," produkter")</f>
        <v>0 produkter</v>
      </c>
      <c r="O14" s="56" t="s">
        <v>5</v>
      </c>
      <c r="P14" s="4"/>
      <c r="Q14" s="5"/>
    </row>
    <row r="15" spans="1:17" ht="30" customHeight="1" thickBot="1" x14ac:dyDescent="0.3">
      <c r="A15" s="176" t="s">
        <v>179</v>
      </c>
      <c r="B15" s="179" t="s">
        <v>4</v>
      </c>
      <c r="C15" s="122">
        <f>SUM(C8:C13)</f>
        <v>0</v>
      </c>
      <c r="D15" s="179" t="s">
        <v>4</v>
      </c>
      <c r="E15" s="122">
        <f>SUM(E8:E13)</f>
        <v>0</v>
      </c>
      <c r="F15" s="179" t="s">
        <v>4</v>
      </c>
      <c r="G15" s="122">
        <f>SUM(G8:G13)</f>
        <v>0</v>
      </c>
      <c r="H15" s="179" t="s">
        <v>4</v>
      </c>
      <c r="I15" s="122">
        <f>SUM(I8:I13)</f>
        <v>0</v>
      </c>
      <c r="J15" s="179" t="s">
        <v>4</v>
      </c>
      <c r="K15" s="122">
        <f>SUM(K8:K13)</f>
        <v>0</v>
      </c>
      <c r="L15" s="179" t="s">
        <v>4</v>
      </c>
      <c r="M15" s="122">
        <f>SUM(M8:M13)</f>
        <v>0</v>
      </c>
      <c r="N15" s="180">
        <f>SUM(Produkter_sålda_tabell[[#This Row],[Täckning 
totalt 1]],Produkter_sålda_tabell[[#This Row],[Täckning 
totalt 2]],Produkter_sålda_tabell[[#This Row],[Täckning 
totalt 3]],Produkter_sålda_tabell[[#This Row],[Täckning 
totalt 4]],Produkter_sålda_tabell[[#This Row],[Täckning 
totalt 5]],Produkter_sålda_tabell[[#This Row],[Täckning 
totalt 6]])</f>
        <v>0</v>
      </c>
      <c r="O15" s="56" t="s">
        <v>5</v>
      </c>
    </row>
    <row r="16" spans="1:17" ht="30" customHeight="1" thickBot="1" x14ac:dyDescent="0.3">
      <c r="A16" s="181" t="s">
        <v>180</v>
      </c>
      <c r="B16" s="179" t="s">
        <v>4</v>
      </c>
      <c r="C16" s="122">
        <f>B14*B5</f>
        <v>0</v>
      </c>
      <c r="D16" s="179" t="s">
        <v>4</v>
      </c>
      <c r="E16" s="122">
        <f>D14*D5</f>
        <v>0</v>
      </c>
      <c r="F16" s="179" t="s">
        <v>4</v>
      </c>
      <c r="G16" s="122">
        <f>F14*F5</f>
        <v>0</v>
      </c>
      <c r="H16" s="179" t="s">
        <v>4</v>
      </c>
      <c r="I16" s="122">
        <f>H14*H5</f>
        <v>0</v>
      </c>
      <c r="J16" s="179" t="s">
        <v>4</v>
      </c>
      <c r="K16" s="122">
        <f>J14*J5</f>
        <v>0</v>
      </c>
      <c r="L16" s="179" t="s">
        <v>4</v>
      </c>
      <c r="M16" s="122">
        <f>L14*L5</f>
        <v>0</v>
      </c>
      <c r="N16" s="180">
        <f>SUM(Produkter_sålda_tabell[[#This Row],[Täckning 
totalt 1]],Produkter_sålda_tabell[[#This Row],[Täckning 
totalt 2]],Produkter_sålda_tabell[[#This Row],[Täckning 
totalt 3]],Produkter_sålda_tabell[[#This Row],[Täckning 
totalt 4]],Produkter_sålda_tabell[[#This Row],[Täckning 
totalt 5]],Produkter_sålda_tabell[[#This Row],[Täckning 
totalt 6]])</f>
        <v>0</v>
      </c>
      <c r="O16" s="56" t="s">
        <v>5</v>
      </c>
    </row>
    <row r="17" spans="1:15" ht="30" customHeight="1" thickBot="1" x14ac:dyDescent="0.3">
      <c r="A17" s="182" t="s">
        <v>181</v>
      </c>
      <c r="B17" s="179" t="s">
        <v>4</v>
      </c>
      <c r="C17" s="122">
        <f>B14*C5</f>
        <v>0</v>
      </c>
      <c r="D17" s="179" t="s">
        <v>4</v>
      </c>
      <c r="E17" s="122">
        <f>D14*E5</f>
        <v>0</v>
      </c>
      <c r="F17" s="179" t="s">
        <v>4</v>
      </c>
      <c r="G17" s="122">
        <f>F14*G5</f>
        <v>0</v>
      </c>
      <c r="H17" s="179" t="s">
        <v>4</v>
      </c>
      <c r="I17" s="122">
        <f>H14*I5</f>
        <v>0</v>
      </c>
      <c r="J17" s="179" t="s">
        <v>4</v>
      </c>
      <c r="K17" s="122">
        <f>J14*K5</f>
        <v>0</v>
      </c>
      <c r="L17" s="183" t="s">
        <v>4</v>
      </c>
      <c r="M17" s="122">
        <f>L14*M5</f>
        <v>0</v>
      </c>
      <c r="N17" s="180">
        <f>SUM(Produkter_sålda_tabell[[#This Row],[Täckning 
totalt 1]],Produkter_sålda_tabell[[#This Row],[Täckning 
totalt 2]],Produkter_sålda_tabell[[#This Row],[Täckning 
totalt 3]],Produkter_sålda_tabell[[#This Row],[Täckning 
totalt 4]],Produkter_sålda_tabell[[#This Row],[Täckning 
totalt 5]],Produkter_sålda_tabell[[#This Row],[Täckning 
totalt 6]])</f>
        <v>0</v>
      </c>
      <c r="O17" s="56" t="s">
        <v>5</v>
      </c>
    </row>
    <row r="18" spans="1:15" ht="30" customHeight="1" x14ac:dyDescent="0.25">
      <c r="A18" s="184" t="s">
        <v>182</v>
      </c>
      <c r="B18" s="185" t="s">
        <v>84</v>
      </c>
      <c r="C18" s="186" t="s">
        <v>218</v>
      </c>
      <c r="D18" s="39" t="s">
        <v>4</v>
      </c>
      <c r="E18" s="39" t="s">
        <v>4</v>
      </c>
      <c r="F18" s="39" t="s">
        <v>4</v>
      </c>
      <c r="G18" s="39" t="s">
        <v>4</v>
      </c>
      <c r="H18" s="39" t="s">
        <v>4</v>
      </c>
      <c r="I18" s="39" t="s">
        <v>4</v>
      </c>
      <c r="J18" s="39" t="s">
        <v>4</v>
      </c>
      <c r="K18" s="39" t="s">
        <v>4</v>
      </c>
      <c r="L18" s="39" t="s">
        <v>4</v>
      </c>
      <c r="M18" s="39" t="s">
        <v>4</v>
      </c>
      <c r="N18" s="39" t="s">
        <v>4</v>
      </c>
      <c r="O18" s="56" t="s">
        <v>5</v>
      </c>
    </row>
    <row r="19" spans="1:15" ht="20.100000000000001" customHeight="1" x14ac:dyDescent="0.25">
      <c r="A19" s="187" t="s">
        <v>183</v>
      </c>
      <c r="B19" s="108">
        <f>N16</f>
        <v>0</v>
      </c>
      <c r="C19" s="94">
        <f>Sammandrag_av_försäljnings_tabell[[#This Row],[I månaden]]*12</f>
        <v>0</v>
      </c>
      <c r="D19" s="39" t="s">
        <v>4</v>
      </c>
      <c r="E19" s="39" t="s">
        <v>4</v>
      </c>
      <c r="F19" s="39" t="s">
        <v>4</v>
      </c>
      <c r="G19" s="39" t="s">
        <v>4</v>
      </c>
      <c r="H19" s="39" t="s">
        <v>4</v>
      </c>
      <c r="I19" s="39" t="s">
        <v>4</v>
      </c>
      <c r="J19" s="39" t="s">
        <v>4</v>
      </c>
      <c r="K19" s="39" t="s">
        <v>4</v>
      </c>
      <c r="L19" s="39" t="s">
        <v>4</v>
      </c>
      <c r="M19" s="39" t="s">
        <v>4</v>
      </c>
      <c r="N19" s="39" t="s">
        <v>4</v>
      </c>
      <c r="O19" s="56" t="s">
        <v>5</v>
      </c>
    </row>
    <row r="20" spans="1:15" ht="20.100000000000001" customHeight="1" x14ac:dyDescent="0.25">
      <c r="A20" s="188" t="s">
        <v>181</v>
      </c>
      <c r="B20" s="110">
        <f>N17</f>
        <v>0</v>
      </c>
      <c r="C20" s="96">
        <f>Sammandrag_av_försäljnings_tabell[[#This Row],[I månaden]]*12</f>
        <v>0</v>
      </c>
      <c r="D20" s="39" t="s">
        <v>4</v>
      </c>
      <c r="E20" s="39" t="s">
        <v>4</v>
      </c>
      <c r="F20" s="39" t="s">
        <v>4</v>
      </c>
      <c r="G20" s="39" t="s">
        <v>4</v>
      </c>
      <c r="H20" s="39" t="s">
        <v>4</v>
      </c>
      <c r="I20" s="39" t="s">
        <v>4</v>
      </c>
      <c r="J20" s="39" t="s">
        <v>4</v>
      </c>
      <c r="K20" s="39" t="s">
        <v>4</v>
      </c>
      <c r="L20" s="39" t="s">
        <v>4</v>
      </c>
      <c r="M20" s="39" t="s">
        <v>4</v>
      </c>
      <c r="N20" s="39" t="s">
        <v>4</v>
      </c>
      <c r="O20" s="56" t="s">
        <v>5</v>
      </c>
    </row>
    <row r="21" spans="1:15" ht="20.100000000000001" customHeight="1" x14ac:dyDescent="0.25">
      <c r="A21" s="188" t="s">
        <v>179</v>
      </c>
      <c r="B21" s="110">
        <f>N15</f>
        <v>0</v>
      </c>
      <c r="C21" s="96">
        <f>Sammandrag_av_försäljnings_tabell[[#This Row],[I månaden]]*12</f>
        <v>0</v>
      </c>
      <c r="D21" s="39" t="s">
        <v>4</v>
      </c>
      <c r="E21" s="39" t="s">
        <v>4</v>
      </c>
      <c r="F21" s="39" t="s">
        <v>4</v>
      </c>
      <c r="G21" s="39" t="s">
        <v>4</v>
      </c>
      <c r="H21" s="39" t="s">
        <v>4</v>
      </c>
      <c r="I21" s="39" t="s">
        <v>4</v>
      </c>
      <c r="J21" s="39" t="s">
        <v>4</v>
      </c>
      <c r="K21" s="39" t="s">
        <v>4</v>
      </c>
      <c r="L21" s="39" t="s">
        <v>4</v>
      </c>
      <c r="M21" s="39" t="s">
        <v>4</v>
      </c>
      <c r="N21" s="39" t="s">
        <v>4</v>
      </c>
      <c r="O21" s="56" t="s">
        <v>5</v>
      </c>
    </row>
    <row r="22" spans="1:15" ht="20.100000000000001" customHeight="1" x14ac:dyDescent="0.25">
      <c r="A22" s="189" t="s">
        <v>184</v>
      </c>
      <c r="B22" s="109">
        <f>Lönsamhetskalkyl!B40</f>
        <v>0</v>
      </c>
      <c r="C22" s="96">
        <f>Sammandrag_av_försäljnings_tabell[[#This Row],[I månaden]]*12</f>
        <v>0</v>
      </c>
      <c r="D22" s="39" t="s">
        <v>4</v>
      </c>
      <c r="E22" s="39" t="s">
        <v>4</v>
      </c>
      <c r="F22" s="39" t="s">
        <v>4</v>
      </c>
      <c r="G22" s="39" t="s">
        <v>4</v>
      </c>
      <c r="H22" s="39" t="s">
        <v>4</v>
      </c>
      <c r="I22" s="39" t="s">
        <v>4</v>
      </c>
      <c r="J22" s="39" t="s">
        <v>4</v>
      </c>
      <c r="K22" s="39" t="s">
        <v>4</v>
      </c>
      <c r="L22" s="39" t="s">
        <v>4</v>
      </c>
      <c r="M22" s="39" t="s">
        <v>4</v>
      </c>
      <c r="N22" s="39" t="s">
        <v>4</v>
      </c>
      <c r="O22" s="56" t="s">
        <v>5</v>
      </c>
    </row>
    <row r="23" spans="1:15" ht="45" customHeight="1" x14ac:dyDescent="0.25">
      <c r="A23" s="189" t="s">
        <v>185</v>
      </c>
      <c r="B23" s="110">
        <f>B21-B22</f>
        <v>0</v>
      </c>
      <c r="C23" s="190" t="s">
        <v>4</v>
      </c>
      <c r="D23" s="39" t="s">
        <v>4</v>
      </c>
      <c r="E23" s="39" t="s">
        <v>4</v>
      </c>
      <c r="F23" s="39" t="s">
        <v>4</v>
      </c>
      <c r="G23" s="39" t="s">
        <v>4</v>
      </c>
      <c r="H23" s="39" t="s">
        <v>4</v>
      </c>
      <c r="I23" s="39" t="s">
        <v>4</v>
      </c>
      <c r="J23" s="39" t="s">
        <v>4</v>
      </c>
      <c r="K23" s="39" t="s">
        <v>4</v>
      </c>
      <c r="L23" s="39" t="s">
        <v>4</v>
      </c>
      <c r="M23" s="39" t="s">
        <v>4</v>
      </c>
      <c r="N23" s="39" t="s">
        <v>4</v>
      </c>
      <c r="O23" s="56" t="s">
        <v>5</v>
      </c>
    </row>
    <row r="24" spans="1:15" ht="45" customHeight="1" x14ac:dyDescent="0.25">
      <c r="A24" s="191" t="s">
        <v>186</v>
      </c>
      <c r="B24" s="199" t="str">
        <f>IF(B21=0,"Total säljmarginal 0 €",IF(B21&gt;B22,B23/B19,"Otillräcklig säljmarginal"))</f>
        <v>Total säljmarginal 0 €</v>
      </c>
      <c r="C24" s="192" t="s">
        <v>4</v>
      </c>
      <c r="D24" s="39" t="s">
        <v>4</v>
      </c>
      <c r="E24" s="39" t="s">
        <v>4</v>
      </c>
      <c r="F24" s="39" t="s">
        <v>4</v>
      </c>
      <c r="G24" s="39" t="s">
        <v>4</v>
      </c>
      <c r="H24" s="39" t="s">
        <v>4</v>
      </c>
      <c r="I24" s="39" t="s">
        <v>4</v>
      </c>
      <c r="J24" s="39" t="s">
        <v>4</v>
      </c>
      <c r="K24" s="39" t="s">
        <v>4</v>
      </c>
      <c r="L24" s="39" t="s">
        <v>4</v>
      </c>
      <c r="M24" s="39" t="s">
        <v>4</v>
      </c>
      <c r="N24" s="39" t="s">
        <v>4</v>
      </c>
      <c r="O24" s="56" t="s">
        <v>5</v>
      </c>
    </row>
    <row r="25" spans="1:15" ht="18.75" x14ac:dyDescent="0.25">
      <c r="A25" s="174" t="s">
        <v>3</v>
      </c>
      <c r="B25" s="172" t="s">
        <v>4</v>
      </c>
      <c r="C25" s="172" t="s">
        <v>4</v>
      </c>
      <c r="D25" s="39" t="s">
        <v>4</v>
      </c>
      <c r="E25" s="39" t="s">
        <v>4</v>
      </c>
      <c r="F25" s="39" t="s">
        <v>4</v>
      </c>
      <c r="G25" s="39" t="s">
        <v>4</v>
      </c>
      <c r="H25" s="39" t="s">
        <v>4</v>
      </c>
      <c r="I25" s="39" t="s">
        <v>4</v>
      </c>
      <c r="J25" s="39" t="s">
        <v>4</v>
      </c>
      <c r="K25" s="39" t="s">
        <v>4</v>
      </c>
      <c r="L25" s="39" t="s">
        <v>4</v>
      </c>
      <c r="M25" s="39" t="s">
        <v>4</v>
      </c>
      <c r="N25" s="39" t="s">
        <v>4</v>
      </c>
      <c r="O25" s="56" t="s">
        <v>5</v>
      </c>
    </row>
    <row r="26" spans="1:15" ht="3.95" customHeight="1" x14ac:dyDescent="0.25">
      <c r="A26" s="56" t="s">
        <v>6</v>
      </c>
      <c r="B26" s="56" t="s">
        <v>6</v>
      </c>
      <c r="C26" s="56" t="s">
        <v>6</v>
      </c>
      <c r="D26" s="56" t="s">
        <v>6</v>
      </c>
      <c r="E26" s="56" t="s">
        <v>6</v>
      </c>
      <c r="F26" s="56" t="s">
        <v>6</v>
      </c>
      <c r="G26" s="56" t="s">
        <v>6</v>
      </c>
      <c r="H26" s="56" t="s">
        <v>6</v>
      </c>
      <c r="I26" s="56" t="s">
        <v>6</v>
      </c>
      <c r="J26" s="56" t="s">
        <v>6</v>
      </c>
      <c r="K26" s="56" t="s">
        <v>6</v>
      </c>
      <c r="L26" s="56" t="s">
        <v>6</v>
      </c>
      <c r="M26" s="56" t="s">
        <v>6</v>
      </c>
      <c r="N26" s="56" t="s">
        <v>6</v>
      </c>
      <c r="O26" s="56" t="s">
        <v>6</v>
      </c>
    </row>
    <row r="27" spans="1:15" x14ac:dyDescent="0.25">
      <c r="A27" s="92"/>
      <c r="B27" s="5"/>
      <c r="C27" s="5"/>
      <c r="D27" s="5"/>
      <c r="E27" s="5"/>
      <c r="F27" s="5"/>
      <c r="G27" s="5"/>
      <c r="H27" s="5"/>
      <c r="I27" s="5"/>
      <c r="J27" s="5"/>
    </row>
    <row r="28" spans="1:15" x14ac:dyDescent="0.25">
      <c r="A28" s="5"/>
      <c r="B28" s="5"/>
      <c r="C28" s="5"/>
      <c r="D28" s="5"/>
      <c r="E28" s="5"/>
      <c r="F28" s="5"/>
      <c r="G28" s="5"/>
      <c r="H28" s="5"/>
      <c r="I28" s="5"/>
      <c r="J28" s="5"/>
    </row>
    <row r="29" spans="1:15" x14ac:dyDescent="0.25">
      <c r="A29" s="5"/>
      <c r="B29" s="5"/>
      <c r="C29" s="5"/>
      <c r="D29" s="5"/>
      <c r="E29" s="5"/>
      <c r="F29" s="5"/>
      <c r="G29" s="5"/>
      <c r="H29" s="5"/>
      <c r="I29" s="5"/>
      <c r="J29" s="5"/>
    </row>
    <row r="30" spans="1:15" x14ac:dyDescent="0.25">
      <c r="D30" s="5"/>
      <c r="E30" s="5"/>
      <c r="F30" s="5"/>
      <c r="G30" s="5"/>
      <c r="H30" s="5"/>
      <c r="I30" s="5"/>
      <c r="J30" s="5"/>
    </row>
    <row r="31" spans="1:15" x14ac:dyDescent="0.25">
      <c r="D31" s="5"/>
      <c r="E31" s="5"/>
      <c r="F31" s="5"/>
      <c r="G31" s="5"/>
      <c r="H31" s="5"/>
    </row>
  </sheetData>
  <sheetProtection sheet="1" objects="1" scenarios="1"/>
  <mergeCells count="6">
    <mergeCell ref="L3:M3"/>
    <mergeCell ref="B3:C3"/>
    <mergeCell ref="D3:E3"/>
    <mergeCell ref="F3:G3"/>
    <mergeCell ref="H3:I3"/>
    <mergeCell ref="J3:K3"/>
  </mergeCells>
  <phoneticPr fontId="13" type="noConversion"/>
  <pageMargins left="0.7" right="0.7" top="0.75" bottom="0.75" header="0.3" footer="0.3"/>
  <pageSetup paperSize="9" orientation="portrait" horizontalDpi="0" verticalDpi="0"/>
  <drawing r:id="rId1"/>
  <legacyDrawing r:id="rId2"/>
  <tableParts count="3">
    <tablePart r:id="rId3"/>
    <tablePart r:id="rId4"/>
    <tablePart r:id="rId5"/>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CF083-D7DF-F747-85FF-2A751224AEEE}">
  <dimension ref="A1:NZ47"/>
  <sheetViews>
    <sheetView zoomScale="80" zoomScaleNormal="80" workbookViewId="0">
      <selection activeCell="C1" sqref="C1"/>
    </sheetView>
  </sheetViews>
  <sheetFormatPr defaultColWidth="10.875" defaultRowHeight="18" x14ac:dyDescent="0.25"/>
  <cols>
    <col min="1" max="1" width="73.875" style="2" customWidth="1"/>
    <col min="2" max="15" width="23.875" style="2" customWidth="1"/>
    <col min="16" max="16" width="0.625" style="2" customWidth="1"/>
    <col min="17" max="16384" width="10.875" style="2"/>
  </cols>
  <sheetData>
    <row r="1" spans="1:20" ht="60" customHeight="1" x14ac:dyDescent="0.25">
      <c r="A1" s="56" t="s">
        <v>219</v>
      </c>
      <c r="B1" s="39" t="s">
        <v>78</v>
      </c>
      <c r="C1" s="39" t="s">
        <v>78</v>
      </c>
      <c r="D1" s="39" t="s">
        <v>78</v>
      </c>
      <c r="E1" s="39" t="s">
        <v>78</v>
      </c>
      <c r="F1" s="39" t="s">
        <v>78</v>
      </c>
      <c r="G1" s="39" t="s">
        <v>78</v>
      </c>
      <c r="H1" s="39" t="s">
        <v>78</v>
      </c>
      <c r="I1" s="39" t="s">
        <v>78</v>
      </c>
      <c r="J1" s="39" t="s">
        <v>78</v>
      </c>
      <c r="K1" s="39" t="s">
        <v>78</v>
      </c>
      <c r="L1" s="39" t="s">
        <v>78</v>
      </c>
      <c r="M1" s="39" t="s">
        <v>78</v>
      </c>
      <c r="N1" s="39" t="s">
        <v>78</v>
      </c>
      <c r="O1" s="39" t="s">
        <v>78</v>
      </c>
      <c r="P1" s="56" t="s">
        <v>263</v>
      </c>
      <c r="Q1" s="4"/>
    </row>
    <row r="2" spans="1:20" ht="30" customHeight="1" x14ac:dyDescent="0.25">
      <c r="A2" s="1" t="s">
        <v>220</v>
      </c>
      <c r="B2" s="39" t="s">
        <v>78</v>
      </c>
      <c r="C2" s="39" t="s">
        <v>78</v>
      </c>
      <c r="D2" s="39" t="s">
        <v>78</v>
      </c>
      <c r="E2" s="39" t="s">
        <v>78</v>
      </c>
      <c r="F2" s="39" t="s">
        <v>78</v>
      </c>
      <c r="G2" s="39" t="s">
        <v>78</v>
      </c>
      <c r="H2" s="39" t="s">
        <v>78</v>
      </c>
      <c r="I2" s="39" t="s">
        <v>78</v>
      </c>
      <c r="J2" s="39" t="s">
        <v>78</v>
      </c>
      <c r="K2" s="39" t="s">
        <v>78</v>
      </c>
      <c r="L2" s="39" t="s">
        <v>78</v>
      </c>
      <c r="M2" s="39" t="s">
        <v>78</v>
      </c>
      <c r="N2" s="39" t="s">
        <v>78</v>
      </c>
      <c r="O2" s="39" t="s">
        <v>78</v>
      </c>
      <c r="P2" s="56" t="s">
        <v>263</v>
      </c>
      <c r="Q2" s="4"/>
      <c r="R2" s="5"/>
      <c r="S2" s="5"/>
      <c r="T2" s="5"/>
    </row>
    <row r="3" spans="1:20" ht="24.95" customHeight="1" x14ac:dyDescent="0.25">
      <c r="A3" s="2" t="s">
        <v>221</v>
      </c>
      <c r="B3" s="39" t="s">
        <v>78</v>
      </c>
      <c r="C3" s="39" t="s">
        <v>78</v>
      </c>
      <c r="D3" s="39" t="s">
        <v>78</v>
      </c>
      <c r="E3" s="39" t="s">
        <v>78</v>
      </c>
      <c r="F3" s="39" t="s">
        <v>78</v>
      </c>
      <c r="G3" s="39" t="s">
        <v>78</v>
      </c>
      <c r="H3" s="39" t="s">
        <v>78</v>
      </c>
      <c r="I3" s="39" t="s">
        <v>78</v>
      </c>
      <c r="J3" s="39" t="s">
        <v>78</v>
      </c>
      <c r="K3" s="39" t="s">
        <v>78</v>
      </c>
      <c r="L3" s="39" t="s">
        <v>78</v>
      </c>
      <c r="M3" s="39" t="s">
        <v>78</v>
      </c>
      <c r="N3" s="39" t="s">
        <v>78</v>
      </c>
      <c r="O3" s="39" t="s">
        <v>78</v>
      </c>
      <c r="P3" s="56" t="s">
        <v>263</v>
      </c>
      <c r="Q3" s="4"/>
      <c r="R3" s="5"/>
      <c r="S3" s="5"/>
      <c r="T3" s="5"/>
    </row>
    <row r="4" spans="1:20" ht="18.75" x14ac:dyDescent="0.25">
      <c r="A4" s="6" t="s">
        <v>222</v>
      </c>
      <c r="B4" s="39" t="s">
        <v>78</v>
      </c>
      <c r="C4" s="39" t="s">
        <v>78</v>
      </c>
      <c r="D4" s="39" t="s">
        <v>78</v>
      </c>
      <c r="E4" s="39" t="s">
        <v>78</v>
      </c>
      <c r="F4" s="39" t="s">
        <v>78</v>
      </c>
      <c r="G4" s="39" t="s">
        <v>78</v>
      </c>
      <c r="H4" s="39" t="s">
        <v>78</v>
      </c>
      <c r="I4" s="39" t="s">
        <v>78</v>
      </c>
      <c r="J4" s="39" t="s">
        <v>78</v>
      </c>
      <c r="K4" s="39" t="s">
        <v>78</v>
      </c>
      <c r="L4" s="39" t="s">
        <v>78</v>
      </c>
      <c r="M4" s="39" t="s">
        <v>78</v>
      </c>
      <c r="N4" s="39" t="s">
        <v>78</v>
      </c>
      <c r="O4" s="39" t="s">
        <v>78</v>
      </c>
      <c r="P4" s="56" t="s">
        <v>263</v>
      </c>
      <c r="Q4" s="4"/>
      <c r="R4" s="5"/>
      <c r="S4" s="5"/>
      <c r="T4" s="5"/>
    </row>
    <row r="5" spans="1:20" ht="30" customHeight="1" x14ac:dyDescent="0.25">
      <c r="A5" s="157">
        <v>25.5</v>
      </c>
      <c r="B5" s="39" t="s">
        <v>78</v>
      </c>
      <c r="C5" s="39" t="s">
        <v>78</v>
      </c>
      <c r="D5" s="39" t="s">
        <v>78</v>
      </c>
      <c r="E5" s="39" t="s">
        <v>78</v>
      </c>
      <c r="F5" s="39" t="s">
        <v>78</v>
      </c>
      <c r="G5" s="39" t="s">
        <v>78</v>
      </c>
      <c r="H5" s="39" t="s">
        <v>78</v>
      </c>
      <c r="I5" s="39" t="s">
        <v>78</v>
      </c>
      <c r="J5" s="39" t="s">
        <v>78</v>
      </c>
      <c r="K5" s="39" t="s">
        <v>78</v>
      </c>
      <c r="L5" s="39" t="s">
        <v>78</v>
      </c>
      <c r="M5" s="39" t="s">
        <v>78</v>
      </c>
      <c r="N5" s="39" t="s">
        <v>78</v>
      </c>
      <c r="O5" s="39" t="s">
        <v>78</v>
      </c>
      <c r="P5" s="56" t="s">
        <v>263</v>
      </c>
      <c r="Q5" s="4"/>
      <c r="R5" s="5"/>
      <c r="S5" s="5"/>
      <c r="T5" s="5"/>
    </row>
    <row r="6" spans="1:20" ht="18.75" x14ac:dyDescent="0.25">
      <c r="A6" s="6" t="s">
        <v>223</v>
      </c>
      <c r="B6" s="39" t="s">
        <v>78</v>
      </c>
      <c r="C6" s="39" t="s">
        <v>78</v>
      </c>
      <c r="D6" s="39" t="s">
        <v>78</v>
      </c>
      <c r="E6" s="39" t="s">
        <v>78</v>
      </c>
      <c r="F6" s="39" t="s">
        <v>78</v>
      </c>
      <c r="G6" s="39" t="s">
        <v>78</v>
      </c>
      <c r="H6" s="39" t="s">
        <v>78</v>
      </c>
      <c r="I6" s="39" t="s">
        <v>78</v>
      </c>
      <c r="J6" s="39" t="s">
        <v>78</v>
      </c>
      <c r="K6" s="39" t="s">
        <v>78</v>
      </c>
      <c r="L6" s="39" t="s">
        <v>78</v>
      </c>
      <c r="M6" s="39" t="s">
        <v>78</v>
      </c>
      <c r="N6" s="39" t="s">
        <v>78</v>
      </c>
      <c r="O6" s="39" t="s">
        <v>78</v>
      </c>
      <c r="P6" s="56" t="s">
        <v>263</v>
      </c>
      <c r="Q6" s="4"/>
      <c r="R6" s="5"/>
      <c r="S6" s="5"/>
      <c r="T6" s="5"/>
    </row>
    <row r="7" spans="1:20" ht="39.950000000000003" customHeight="1" x14ac:dyDescent="0.25">
      <c r="A7" s="42">
        <v>46023</v>
      </c>
      <c r="B7" s="43" t="s">
        <v>259</v>
      </c>
      <c r="C7" s="43" t="str">
        <f>UPPER(TEXT(Räkenskapsperioden_börjar,"[$-041D]kkk"))</f>
        <v>JAN</v>
      </c>
      <c r="D7" s="43" t="str">
        <f>UPPER(TEXT(EOMONTH(Räkenskapsperioden_börjar,1),"[$-041D]kkk"))</f>
        <v>FEB</v>
      </c>
      <c r="E7" s="43" t="str">
        <f>UPPER(TEXT(EOMONTH(Räkenskapsperioden_börjar,2),"[$-041D]kkk"))</f>
        <v>MAR</v>
      </c>
      <c r="F7" s="43" t="str">
        <f>UPPER(TEXT(EOMONTH(Räkenskapsperioden_börjar,3),"[$-041D]kkk"))</f>
        <v>APR</v>
      </c>
      <c r="G7" s="43" t="str">
        <f>UPPER(TEXT(EOMONTH(Räkenskapsperioden_börjar,4),"[$-041D]kkk"))</f>
        <v>MAJ</v>
      </c>
      <c r="H7" s="43" t="str">
        <f>UPPER(TEXT(EOMONTH(Räkenskapsperioden_börjar,5),"[$-041D]kkk"))</f>
        <v>JUN</v>
      </c>
      <c r="I7" s="43" t="str">
        <f>UPPER(TEXT(EOMONTH(Räkenskapsperioden_börjar,6),"[$-041D]kkk"))</f>
        <v>JUL</v>
      </c>
      <c r="J7" s="43" t="str">
        <f>UPPER(TEXT(EOMONTH(Räkenskapsperioden_börjar,7),"[$-041D]kkk"))</f>
        <v>AUG</v>
      </c>
      <c r="K7" s="43" t="str">
        <f>UPPER(TEXT(EOMONTH(Räkenskapsperioden_börjar,8),"[$-041D]kkk"))</f>
        <v>SEP</v>
      </c>
      <c r="L7" s="43" t="str">
        <f>UPPER(TEXT(EOMONTH(Räkenskapsperioden_börjar,9),"[$-041D]kkk"))</f>
        <v>OKT</v>
      </c>
      <c r="M7" s="43" t="str">
        <f>UPPER(TEXT(EOMONTH(Räkenskapsperioden_börjar,10),"[$-041D]kkk"))</f>
        <v>NOV</v>
      </c>
      <c r="N7" s="43" t="str">
        <f>UPPER(TEXT(EOMONTH(Räkenskapsperioden_börjar,11),"[$-041D]kkk"))</f>
        <v>DEC</v>
      </c>
      <c r="O7" s="43" t="s">
        <v>262</v>
      </c>
      <c r="P7" s="56" t="s">
        <v>263</v>
      </c>
      <c r="Q7" s="4"/>
      <c r="R7" s="5"/>
      <c r="S7" s="5"/>
      <c r="T7" s="5"/>
    </row>
    <row r="8" spans="1:20" ht="30" customHeight="1" x14ac:dyDescent="0.25">
      <c r="A8" s="44" t="s">
        <v>224</v>
      </c>
      <c r="B8" s="26" t="s">
        <v>260</v>
      </c>
      <c r="C8" s="26" t="s">
        <v>7</v>
      </c>
      <c r="D8" s="26" t="s">
        <v>8</v>
      </c>
      <c r="E8" s="26" t="s">
        <v>9</v>
      </c>
      <c r="F8" s="26" t="s">
        <v>10</v>
      </c>
      <c r="G8" s="26" t="s">
        <v>11</v>
      </c>
      <c r="H8" s="26" t="s">
        <v>12</v>
      </c>
      <c r="I8" s="26" t="s">
        <v>13</v>
      </c>
      <c r="J8" s="26" t="s">
        <v>14</v>
      </c>
      <c r="K8" s="26" t="s">
        <v>15</v>
      </c>
      <c r="L8" s="26" t="s">
        <v>16</v>
      </c>
      <c r="M8" s="26" t="s">
        <v>17</v>
      </c>
      <c r="N8" s="26" t="s">
        <v>18</v>
      </c>
      <c r="O8" s="27" t="s">
        <v>121</v>
      </c>
      <c r="P8" s="56" t="s">
        <v>263</v>
      </c>
      <c r="Q8" s="4"/>
      <c r="R8" s="5"/>
      <c r="S8" s="5"/>
      <c r="T8" s="5"/>
    </row>
    <row r="9" spans="1:20" ht="30" customHeight="1" x14ac:dyDescent="0.25">
      <c r="A9" s="45" t="s">
        <v>225</v>
      </c>
      <c r="B9" s="131"/>
      <c r="C9" s="132">
        <f>B42</f>
        <v>0</v>
      </c>
      <c r="D9" s="132">
        <f t="shared" ref="D9:N9" si="0">C42</f>
        <v>0</v>
      </c>
      <c r="E9" s="132">
        <f t="shared" si="0"/>
        <v>0</v>
      </c>
      <c r="F9" s="132">
        <f t="shared" si="0"/>
        <v>0</v>
      </c>
      <c r="G9" s="132">
        <f t="shared" si="0"/>
        <v>0</v>
      </c>
      <c r="H9" s="132">
        <f t="shared" si="0"/>
        <v>0</v>
      </c>
      <c r="I9" s="132">
        <f t="shared" si="0"/>
        <v>0</v>
      </c>
      <c r="J9" s="132">
        <f t="shared" si="0"/>
        <v>0</v>
      </c>
      <c r="K9" s="132">
        <f t="shared" si="0"/>
        <v>0</v>
      </c>
      <c r="L9" s="132">
        <f t="shared" si="0"/>
        <v>0</v>
      </c>
      <c r="M9" s="132">
        <f t="shared" si="0"/>
        <v>0</v>
      </c>
      <c r="N9" s="132">
        <f t="shared" si="0"/>
        <v>0</v>
      </c>
      <c r="O9" s="132"/>
      <c r="P9" s="56" t="s">
        <v>263</v>
      </c>
      <c r="Q9" s="4"/>
      <c r="R9" s="5"/>
      <c r="S9" s="5"/>
      <c r="T9" s="5"/>
    </row>
    <row r="10" spans="1:20" ht="30" customHeight="1" x14ac:dyDescent="0.25">
      <c r="A10" s="17" t="s">
        <v>226</v>
      </c>
      <c r="B10" s="26" t="s">
        <v>260</v>
      </c>
      <c r="C10" s="26" t="s">
        <v>7</v>
      </c>
      <c r="D10" s="26" t="s">
        <v>8</v>
      </c>
      <c r="E10" s="26" t="s">
        <v>9</v>
      </c>
      <c r="F10" s="26" t="s">
        <v>10</v>
      </c>
      <c r="G10" s="26" t="s">
        <v>11</v>
      </c>
      <c r="H10" s="26" t="s">
        <v>12</v>
      </c>
      <c r="I10" s="26" t="s">
        <v>13</v>
      </c>
      <c r="J10" s="26" t="s">
        <v>14</v>
      </c>
      <c r="K10" s="26" t="s">
        <v>15</v>
      </c>
      <c r="L10" s="26" t="s">
        <v>16</v>
      </c>
      <c r="M10" s="26" t="s">
        <v>17</v>
      </c>
      <c r="N10" s="26" t="s">
        <v>18</v>
      </c>
      <c r="O10" s="27" t="s">
        <v>121</v>
      </c>
      <c r="P10" s="56" t="s">
        <v>263</v>
      </c>
      <c r="Q10" s="4"/>
      <c r="R10" s="5"/>
      <c r="S10" s="5"/>
      <c r="T10" s="5"/>
    </row>
    <row r="11" spans="1:20" ht="20.100000000000001" customHeight="1" x14ac:dyDescent="0.25">
      <c r="A11" s="46" t="s">
        <v>227</v>
      </c>
      <c r="B11" s="133"/>
      <c r="C11" s="134"/>
      <c r="D11" s="134"/>
      <c r="E11" s="134"/>
      <c r="F11" s="134"/>
      <c r="G11" s="134"/>
      <c r="H11" s="134"/>
      <c r="I11" s="134"/>
      <c r="J11" s="134"/>
      <c r="K11" s="134"/>
      <c r="L11" s="134"/>
      <c r="M11" s="134"/>
      <c r="N11" s="135"/>
      <c r="O11" s="136">
        <f>SUM(Betalning_till_kassa_tabell_1[[#This Row],[Uppskattning]:[Period 12]])</f>
        <v>0</v>
      </c>
      <c r="P11" s="56" t="s">
        <v>263</v>
      </c>
      <c r="Q11" s="4"/>
      <c r="R11" s="5"/>
      <c r="S11" s="5"/>
      <c r="T11" s="5"/>
    </row>
    <row r="12" spans="1:20" ht="20.100000000000001" customHeight="1" x14ac:dyDescent="0.25">
      <c r="A12" s="47" t="s">
        <v>228</v>
      </c>
      <c r="B12" s="137"/>
      <c r="C12" s="138"/>
      <c r="D12" s="138"/>
      <c r="E12" s="138"/>
      <c r="F12" s="138"/>
      <c r="G12" s="138"/>
      <c r="H12" s="138"/>
      <c r="I12" s="138"/>
      <c r="J12" s="138"/>
      <c r="K12" s="138"/>
      <c r="L12" s="138"/>
      <c r="M12" s="138"/>
      <c r="N12" s="139"/>
      <c r="O12" s="140">
        <f>SUM(Betalning_till_kassa_tabell_1[[#This Row],[Uppskattning]:[Period 12]])</f>
        <v>0</v>
      </c>
      <c r="P12" s="56" t="s">
        <v>263</v>
      </c>
      <c r="Q12" s="4"/>
      <c r="R12" s="5"/>
      <c r="S12" s="5"/>
      <c r="T12" s="5"/>
    </row>
    <row r="13" spans="1:20" ht="20.100000000000001" customHeight="1" thickBot="1" x14ac:dyDescent="0.3">
      <c r="A13" s="48" t="s">
        <v>229</v>
      </c>
      <c r="B13" s="141"/>
      <c r="C13" s="142"/>
      <c r="D13" s="142"/>
      <c r="E13" s="142"/>
      <c r="F13" s="142"/>
      <c r="G13" s="142"/>
      <c r="H13" s="142"/>
      <c r="I13" s="142"/>
      <c r="J13" s="142"/>
      <c r="K13" s="142"/>
      <c r="L13" s="142"/>
      <c r="M13" s="142"/>
      <c r="N13" s="143"/>
      <c r="O13" s="144">
        <f>SUM(Betalning_till_kassa_tabell_1[[#This Row],[Uppskattning]:[Period 12]])</f>
        <v>0</v>
      </c>
      <c r="P13" s="56" t="s">
        <v>263</v>
      </c>
      <c r="Q13" s="4"/>
      <c r="R13" s="5"/>
      <c r="S13" s="5"/>
      <c r="T13" s="5"/>
    </row>
    <row r="14" spans="1:20" ht="30" customHeight="1" x14ac:dyDescent="0.25">
      <c r="A14" s="80" t="s">
        <v>121</v>
      </c>
      <c r="B14" s="145">
        <f t="shared" ref="B14" si="1">SUM(B11:B13)</f>
        <v>0</v>
      </c>
      <c r="C14" s="145">
        <f t="shared" ref="C14" si="2">SUM(C11:C13)</f>
        <v>0</v>
      </c>
      <c r="D14" s="145">
        <f t="shared" ref="D14" si="3">SUM(D11:D13)</f>
        <v>0</v>
      </c>
      <c r="E14" s="145">
        <f t="shared" ref="E14" si="4">SUM(E11:E13)</f>
        <v>0</v>
      </c>
      <c r="F14" s="145">
        <f t="shared" ref="F14" si="5">SUM(F11:F13)</f>
        <v>0</v>
      </c>
      <c r="G14" s="145">
        <f t="shared" ref="G14" si="6">SUM(G11:G13)</f>
        <v>0</v>
      </c>
      <c r="H14" s="145">
        <f t="shared" ref="H14" si="7">SUM(H11:H13)</f>
        <v>0</v>
      </c>
      <c r="I14" s="145">
        <f t="shared" ref="I14" si="8">SUM(I11:I13)</f>
        <v>0</v>
      </c>
      <c r="J14" s="145">
        <f t="shared" ref="J14" si="9">SUM(J11:J13)</f>
        <v>0</v>
      </c>
      <c r="K14" s="145">
        <f t="shared" ref="K14" si="10">SUM(K11:K13)</f>
        <v>0</v>
      </c>
      <c r="L14" s="145">
        <f t="shared" ref="L14" si="11">SUM(L11:L13)</f>
        <v>0</v>
      </c>
      <c r="M14" s="145">
        <f t="shared" ref="M14:N14" si="12">SUM(M11:M13)</f>
        <v>0</v>
      </c>
      <c r="N14" s="145">
        <f t="shared" si="12"/>
        <v>0</v>
      </c>
      <c r="O14" s="146">
        <f>SUM(Betalning_till_kassa_tabell_1[[#This Row],[Uppskattning]:[Period 12]])</f>
        <v>0</v>
      </c>
      <c r="P14" s="56" t="s">
        <v>263</v>
      </c>
      <c r="Q14" s="4"/>
      <c r="R14" s="5"/>
      <c r="S14" s="5"/>
      <c r="T14" s="5"/>
    </row>
    <row r="15" spans="1:20" ht="30" customHeight="1" x14ac:dyDescent="0.25">
      <c r="A15" s="82" t="s">
        <v>230</v>
      </c>
      <c r="B15" s="147">
        <f>B14*(1+(Mervärdesskatteprocent/100))</f>
        <v>0</v>
      </c>
      <c r="C15" s="147">
        <f t="shared" ref="C15:N15" si="13">C14*(1+(Mervärdesskatteprocent/100))</f>
        <v>0</v>
      </c>
      <c r="D15" s="147">
        <f t="shared" si="13"/>
        <v>0</v>
      </c>
      <c r="E15" s="147">
        <f t="shared" si="13"/>
        <v>0</v>
      </c>
      <c r="F15" s="147">
        <f t="shared" si="13"/>
        <v>0</v>
      </c>
      <c r="G15" s="147">
        <f t="shared" si="13"/>
        <v>0</v>
      </c>
      <c r="H15" s="147">
        <f t="shared" si="13"/>
        <v>0</v>
      </c>
      <c r="I15" s="147">
        <f t="shared" si="13"/>
        <v>0</v>
      </c>
      <c r="J15" s="147">
        <f t="shared" si="13"/>
        <v>0</v>
      </c>
      <c r="K15" s="147">
        <f t="shared" si="13"/>
        <v>0</v>
      </c>
      <c r="L15" s="147">
        <f t="shared" si="13"/>
        <v>0</v>
      </c>
      <c r="M15" s="147">
        <f t="shared" si="13"/>
        <v>0</v>
      </c>
      <c r="N15" s="147">
        <f t="shared" si="13"/>
        <v>0</v>
      </c>
      <c r="O15" s="147">
        <f>SUM(Betalning_till_kassa_tabell_1[[#This Row],[Uppskattning]:[Period 12]])</f>
        <v>0</v>
      </c>
      <c r="P15" s="56" t="s">
        <v>263</v>
      </c>
      <c r="Q15" s="4"/>
      <c r="R15" s="5"/>
      <c r="S15" s="5"/>
      <c r="T15" s="5"/>
    </row>
    <row r="16" spans="1:20" ht="30" customHeight="1" x14ac:dyDescent="0.25">
      <c r="A16" s="49" t="s">
        <v>231</v>
      </c>
      <c r="B16" s="26" t="s">
        <v>260</v>
      </c>
      <c r="C16" s="26" t="s">
        <v>7</v>
      </c>
      <c r="D16" s="26" t="s">
        <v>8</v>
      </c>
      <c r="E16" s="26" t="s">
        <v>9</v>
      </c>
      <c r="F16" s="26" t="s">
        <v>10</v>
      </c>
      <c r="G16" s="26" t="s">
        <v>11</v>
      </c>
      <c r="H16" s="26" t="s">
        <v>12</v>
      </c>
      <c r="I16" s="26" t="s">
        <v>13</v>
      </c>
      <c r="J16" s="26" t="s">
        <v>14</v>
      </c>
      <c r="K16" s="26" t="s">
        <v>15</v>
      </c>
      <c r="L16" s="26" t="s">
        <v>16</v>
      </c>
      <c r="M16" s="26" t="s">
        <v>17</v>
      </c>
      <c r="N16" s="26" t="s">
        <v>18</v>
      </c>
      <c r="O16" s="27" t="s">
        <v>121</v>
      </c>
      <c r="P16" s="56" t="s">
        <v>263</v>
      </c>
      <c r="Q16" s="4"/>
      <c r="R16" s="5"/>
      <c r="S16" s="5"/>
      <c r="T16" s="5"/>
    </row>
    <row r="17" spans="1:390" ht="30" customHeight="1" x14ac:dyDescent="0.25">
      <c r="A17" s="45" t="s">
        <v>232</v>
      </c>
      <c r="B17" s="132">
        <f>SUM(Startkassa_tabell_1[Uppskattning],B15)</f>
        <v>0</v>
      </c>
      <c r="C17" s="132">
        <f>SUM(Startkassa_tabell_1[Period 1],C15)</f>
        <v>0</v>
      </c>
      <c r="D17" s="132">
        <f>SUM(Startkassa_tabell_1[Period 2],D15)</f>
        <v>0</v>
      </c>
      <c r="E17" s="132">
        <f>SUM(Startkassa_tabell_1[Period 3],E15)</f>
        <v>0</v>
      </c>
      <c r="F17" s="132">
        <f>SUM(Startkassa_tabell_1[Period 4],F15)</f>
        <v>0</v>
      </c>
      <c r="G17" s="132">
        <f>SUM(Startkassa_tabell_1[Period 5],G15)</f>
        <v>0</v>
      </c>
      <c r="H17" s="132">
        <f>SUM(Startkassa_tabell_1[Period 6],H15)</f>
        <v>0</v>
      </c>
      <c r="I17" s="132">
        <f>SUM(Startkassa_tabell_1[Period 7],I15)</f>
        <v>0</v>
      </c>
      <c r="J17" s="132">
        <f>SUM(Startkassa_tabell_1[Period 8],J15)</f>
        <v>0</v>
      </c>
      <c r="K17" s="132">
        <f>SUM(Startkassa_tabell_1[Period 9],K15)</f>
        <v>0</v>
      </c>
      <c r="L17" s="132">
        <f>SUM(Startkassa_tabell_1[Period 10],L15)</f>
        <v>0</v>
      </c>
      <c r="M17" s="132">
        <f>SUM(Startkassa_tabell_1[Period 11],M15)</f>
        <v>0</v>
      </c>
      <c r="N17" s="132">
        <f>SUM(Startkassa_tabell_1[Period 12],N15)</f>
        <v>0</v>
      </c>
      <c r="O17" s="132"/>
      <c r="P17" s="56" t="s">
        <v>263</v>
      </c>
      <c r="Q17" s="4"/>
      <c r="R17" s="5"/>
      <c r="S17" s="5"/>
      <c r="T17" s="5"/>
    </row>
    <row r="18" spans="1:390" ht="30" customHeight="1" x14ac:dyDescent="0.25">
      <c r="A18" s="49" t="s">
        <v>233</v>
      </c>
      <c r="B18" s="26" t="s">
        <v>260</v>
      </c>
      <c r="C18" s="26" t="s">
        <v>7</v>
      </c>
      <c r="D18" s="26" t="s">
        <v>8</v>
      </c>
      <c r="E18" s="26" t="s">
        <v>9</v>
      </c>
      <c r="F18" s="26" t="s">
        <v>10</v>
      </c>
      <c r="G18" s="26" t="s">
        <v>11</v>
      </c>
      <c r="H18" s="26" t="s">
        <v>12</v>
      </c>
      <c r="I18" s="26" t="s">
        <v>13</v>
      </c>
      <c r="J18" s="26" t="s">
        <v>14</v>
      </c>
      <c r="K18" s="26" t="s">
        <v>15</v>
      </c>
      <c r="L18" s="26" t="s">
        <v>16</v>
      </c>
      <c r="M18" s="26" t="s">
        <v>17</v>
      </c>
      <c r="N18" s="26" t="s">
        <v>18</v>
      </c>
      <c r="O18" s="27" t="s">
        <v>121</v>
      </c>
      <c r="P18" s="56" t="s">
        <v>263</v>
      </c>
      <c r="Q18" s="4"/>
      <c r="R18" s="5"/>
      <c r="S18" s="5"/>
      <c r="T18" s="5"/>
    </row>
    <row r="19" spans="1:390" ht="20.100000000000001" customHeight="1" thickBot="1" x14ac:dyDescent="0.3">
      <c r="A19" s="84" t="s">
        <v>234</v>
      </c>
      <c r="B19" s="162"/>
      <c r="C19" s="162"/>
      <c r="D19" s="162"/>
      <c r="E19" s="162"/>
      <c r="F19" s="162"/>
      <c r="G19" s="162"/>
      <c r="H19" s="162"/>
      <c r="I19" s="162"/>
      <c r="J19" s="162"/>
      <c r="K19" s="162"/>
      <c r="L19" s="162"/>
      <c r="M19" s="162"/>
      <c r="N19" s="162"/>
      <c r="O19" s="104">
        <f>SUM(Betalning_ur_kassa_moms_tabell_1[[#This Row],[Uppskattning]:[Period 12]])</f>
        <v>0</v>
      </c>
      <c r="P19" s="56" t="s">
        <v>263</v>
      </c>
      <c r="Q19" s="4"/>
      <c r="R19" s="5"/>
      <c r="S19" s="5"/>
      <c r="T19" s="5"/>
    </row>
    <row r="20" spans="1:390" ht="30" customHeight="1" x14ac:dyDescent="0.25">
      <c r="A20" s="81" t="s">
        <v>235</v>
      </c>
      <c r="B20" s="148">
        <f>B19*(1+(Mervärdesskatteprocent/100))</f>
        <v>0</v>
      </c>
      <c r="C20" s="148">
        <f t="shared" ref="C20:N20" si="14">C19*(1+(Mervärdesskatteprocent/100))</f>
        <v>0</v>
      </c>
      <c r="D20" s="148">
        <f t="shared" si="14"/>
        <v>0</v>
      </c>
      <c r="E20" s="148">
        <f>E19*(1+(Mervärdesskatteprocent/100))</f>
        <v>0</v>
      </c>
      <c r="F20" s="148">
        <f t="shared" si="14"/>
        <v>0</v>
      </c>
      <c r="G20" s="148">
        <f t="shared" si="14"/>
        <v>0</v>
      </c>
      <c r="H20" s="148">
        <f t="shared" si="14"/>
        <v>0</v>
      </c>
      <c r="I20" s="148">
        <f t="shared" si="14"/>
        <v>0</v>
      </c>
      <c r="J20" s="148">
        <f t="shared" si="14"/>
        <v>0</v>
      </c>
      <c r="K20" s="148">
        <f t="shared" si="14"/>
        <v>0</v>
      </c>
      <c r="L20" s="148">
        <f t="shared" si="14"/>
        <v>0</v>
      </c>
      <c r="M20" s="148">
        <f>M19*(1+(Mervärdesskatteprocent/100))</f>
        <v>0</v>
      </c>
      <c r="N20" s="148">
        <f t="shared" si="14"/>
        <v>0</v>
      </c>
      <c r="O20" s="148">
        <f>SUM(Betalning_ur_kassa_moms_tabell_1[[#This Row],[Uppskattning]:[Period 12]])</f>
        <v>0</v>
      </c>
      <c r="P20" s="56" t="s">
        <v>263</v>
      </c>
      <c r="Q20" s="4"/>
      <c r="R20" s="5"/>
      <c r="S20" s="5"/>
      <c r="T20" s="5"/>
    </row>
    <row r="21" spans="1:390" ht="30" customHeight="1" x14ac:dyDescent="0.25">
      <c r="A21" s="82" t="s">
        <v>236</v>
      </c>
      <c r="B21" s="85" t="s">
        <v>261</v>
      </c>
      <c r="C21" s="85" t="s">
        <v>261</v>
      </c>
      <c r="D21" s="149">
        <f>(B15-B14)-(B20-B19)</f>
        <v>0</v>
      </c>
      <c r="E21" s="149">
        <f t="shared" ref="E21:L21" si="15">(C15-C14)-(C20-C19)</f>
        <v>0</v>
      </c>
      <c r="F21" s="149">
        <f t="shared" si="15"/>
        <v>0</v>
      </c>
      <c r="G21" s="149">
        <f t="shared" si="15"/>
        <v>0</v>
      </c>
      <c r="H21" s="149">
        <f t="shared" si="15"/>
        <v>0</v>
      </c>
      <c r="I21" s="149">
        <f t="shared" si="15"/>
        <v>0</v>
      </c>
      <c r="J21" s="149">
        <f t="shared" si="15"/>
        <v>0</v>
      </c>
      <c r="K21" s="149">
        <f t="shared" si="15"/>
        <v>0</v>
      </c>
      <c r="L21" s="149">
        <f t="shared" si="15"/>
        <v>0</v>
      </c>
      <c r="M21" s="149">
        <f>(K15-K14)-(K20-K19)</f>
        <v>0</v>
      </c>
      <c r="N21" s="149">
        <f>(L15-L14)-(L20-L19)</f>
        <v>0</v>
      </c>
      <c r="O21" s="149">
        <f>SUM(Betalning_ur_kassa_moms_tabell_1[[#This Row],[Uppskattning]:[Period 12]])</f>
        <v>0</v>
      </c>
      <c r="P21" s="175" t="s">
        <v>263</v>
      </c>
      <c r="Q21" s="77"/>
      <c r="R21" s="5"/>
      <c r="S21" s="5"/>
      <c r="T21" s="5"/>
    </row>
    <row r="22" spans="1:390" ht="30" customHeight="1" x14ac:dyDescent="0.25">
      <c r="A22" s="17" t="s">
        <v>237</v>
      </c>
      <c r="B22" s="26" t="s">
        <v>260</v>
      </c>
      <c r="C22" s="26" t="s">
        <v>7</v>
      </c>
      <c r="D22" s="26" t="s">
        <v>8</v>
      </c>
      <c r="E22" s="26" t="s">
        <v>9</v>
      </c>
      <c r="F22" s="26" t="s">
        <v>10</v>
      </c>
      <c r="G22" s="26" t="s">
        <v>11</v>
      </c>
      <c r="H22" s="26" t="s">
        <v>12</v>
      </c>
      <c r="I22" s="26" t="s">
        <v>13</v>
      </c>
      <c r="J22" s="26" t="s">
        <v>14</v>
      </c>
      <c r="K22" s="26" t="s">
        <v>15</v>
      </c>
      <c r="L22" s="26" t="s">
        <v>16</v>
      </c>
      <c r="M22" s="26" t="s">
        <v>17</v>
      </c>
      <c r="N22" s="26" t="s">
        <v>18</v>
      </c>
      <c r="O22" s="27" t="s">
        <v>121</v>
      </c>
      <c r="P22" s="56" t="s">
        <v>263</v>
      </c>
      <c r="Q22" s="4"/>
      <c r="R22" s="5"/>
      <c r="S22" s="5"/>
      <c r="T22" s="5"/>
    </row>
    <row r="23" spans="1:390" ht="20.100000000000001" customHeight="1" x14ac:dyDescent="0.25">
      <c r="A23" s="18" t="s">
        <v>238</v>
      </c>
      <c r="B23" s="95"/>
      <c r="C23" s="95"/>
      <c r="D23" s="95"/>
      <c r="E23" s="95"/>
      <c r="F23" s="95"/>
      <c r="G23" s="95"/>
      <c r="H23" s="95"/>
      <c r="I23" s="95"/>
      <c r="J23" s="95"/>
      <c r="K23" s="95"/>
      <c r="L23" s="95"/>
      <c r="M23" s="95"/>
      <c r="N23" s="95"/>
      <c r="O23" s="150">
        <f>SUM(Betalning_ur_kassa_tabell_1[[#This Row],[Uppskattning]:[Period 12]])</f>
        <v>0</v>
      </c>
      <c r="P23" s="56" t="s">
        <v>263</v>
      </c>
      <c r="Q23" s="4"/>
      <c r="R23" s="5"/>
      <c r="S23" s="5"/>
      <c r="T23" s="5"/>
    </row>
    <row r="24" spans="1:390" ht="20.100000000000001" customHeight="1" x14ac:dyDescent="0.25">
      <c r="A24" s="18" t="s">
        <v>239</v>
      </c>
      <c r="B24" s="95"/>
      <c r="C24" s="95"/>
      <c r="D24" s="95"/>
      <c r="E24" s="95"/>
      <c r="F24" s="95"/>
      <c r="G24" s="95"/>
      <c r="H24" s="95"/>
      <c r="I24" s="95"/>
      <c r="J24" s="95"/>
      <c r="K24" s="95"/>
      <c r="L24" s="95"/>
      <c r="M24" s="95"/>
      <c r="N24" s="95"/>
      <c r="O24" s="150">
        <f>SUM(Betalning_ur_kassa_tabell_1[[#This Row],[Uppskattning]:[Period 12]])</f>
        <v>0</v>
      </c>
      <c r="P24" s="175" t="s">
        <v>263</v>
      </c>
      <c r="Q24" s="77"/>
      <c r="R24" s="78"/>
      <c r="S24" s="78"/>
      <c r="T24" s="78"/>
      <c r="U24" s="79"/>
      <c r="V24" s="79"/>
      <c r="W24" s="79"/>
      <c r="X24" s="79"/>
      <c r="Y24" s="79"/>
      <c r="Z24" s="79"/>
      <c r="AA24" s="79"/>
      <c r="AB24" s="79"/>
      <c r="AC24" s="79"/>
      <c r="AD24" s="79"/>
      <c r="AE24" s="79"/>
      <c r="AF24" s="79"/>
      <c r="AG24" s="79"/>
      <c r="AH24" s="79"/>
      <c r="AI24" s="79"/>
      <c r="AJ24" s="79"/>
      <c r="AK24" s="79"/>
      <c r="AL24" s="79"/>
      <c r="AM24" s="79"/>
      <c r="AN24" s="79"/>
      <c r="AO24" s="79"/>
      <c r="AP24" s="79"/>
      <c r="AQ24" s="79"/>
      <c r="AR24" s="79"/>
      <c r="AS24" s="79"/>
      <c r="AT24" s="79"/>
      <c r="AU24" s="79"/>
      <c r="AV24" s="79"/>
      <c r="AW24" s="79"/>
      <c r="AX24" s="79"/>
      <c r="AY24" s="79"/>
      <c r="AZ24" s="79"/>
      <c r="BA24" s="79"/>
      <c r="BB24" s="79"/>
      <c r="BC24" s="79"/>
      <c r="BD24" s="79"/>
      <c r="BE24" s="79"/>
      <c r="BF24" s="79"/>
      <c r="BG24" s="79"/>
      <c r="BH24" s="79"/>
      <c r="BI24" s="79"/>
      <c r="BJ24" s="79"/>
      <c r="BK24" s="79"/>
      <c r="BL24" s="79"/>
      <c r="BM24" s="79"/>
      <c r="BN24" s="79"/>
      <c r="BO24" s="79"/>
      <c r="BP24" s="79"/>
      <c r="BQ24" s="79"/>
      <c r="BR24" s="79"/>
      <c r="BS24" s="79"/>
      <c r="BT24" s="79"/>
      <c r="BU24" s="79"/>
      <c r="BV24" s="79"/>
      <c r="BW24" s="79"/>
      <c r="BX24" s="79"/>
      <c r="BY24" s="79"/>
      <c r="BZ24" s="79"/>
      <c r="CA24" s="79"/>
      <c r="CB24" s="79"/>
      <c r="CC24" s="79"/>
      <c r="CD24" s="79"/>
      <c r="CE24" s="79"/>
      <c r="CF24" s="79"/>
      <c r="CG24" s="79"/>
      <c r="CH24" s="79"/>
      <c r="CI24" s="79"/>
      <c r="CJ24" s="79"/>
      <c r="CK24" s="79"/>
      <c r="CL24" s="79"/>
      <c r="CM24" s="79"/>
      <c r="CN24" s="79"/>
      <c r="CO24" s="79"/>
      <c r="CP24" s="79"/>
      <c r="CQ24" s="79"/>
      <c r="CR24" s="79"/>
      <c r="CS24" s="79"/>
      <c r="CT24" s="79"/>
      <c r="CU24" s="79"/>
      <c r="CV24" s="79"/>
      <c r="CW24" s="79"/>
      <c r="CX24" s="79"/>
      <c r="CY24" s="79"/>
      <c r="CZ24" s="79"/>
      <c r="DA24" s="79"/>
      <c r="DB24" s="79"/>
      <c r="DC24" s="79"/>
      <c r="DD24" s="79"/>
      <c r="DE24" s="79"/>
      <c r="DF24" s="79"/>
      <c r="DG24" s="79"/>
      <c r="DH24" s="79"/>
      <c r="DI24" s="79"/>
      <c r="DJ24" s="79"/>
      <c r="DK24" s="79"/>
      <c r="DL24" s="79"/>
      <c r="DM24" s="79"/>
      <c r="DN24" s="79"/>
      <c r="DO24" s="79"/>
      <c r="DP24" s="79"/>
      <c r="DQ24" s="79"/>
      <c r="DR24" s="79"/>
      <c r="DS24" s="79"/>
      <c r="DT24" s="79"/>
      <c r="DU24" s="79"/>
      <c r="DV24" s="79"/>
      <c r="DW24" s="79"/>
      <c r="DX24" s="79"/>
      <c r="DY24" s="79"/>
      <c r="DZ24" s="79"/>
      <c r="EA24" s="79"/>
      <c r="EB24" s="79"/>
      <c r="EC24" s="79"/>
      <c r="ED24" s="79"/>
      <c r="EE24" s="79"/>
      <c r="EF24" s="79"/>
      <c r="EG24" s="79"/>
      <c r="EH24" s="79"/>
      <c r="EI24" s="79"/>
      <c r="EJ24" s="79"/>
      <c r="EK24" s="79"/>
      <c r="EL24" s="79"/>
      <c r="EM24" s="79"/>
      <c r="EN24" s="79"/>
      <c r="EO24" s="79"/>
      <c r="EP24" s="79"/>
      <c r="EQ24" s="79"/>
      <c r="ER24" s="79"/>
      <c r="ES24" s="79"/>
      <c r="ET24" s="79"/>
      <c r="EU24" s="79"/>
      <c r="EV24" s="79"/>
      <c r="EW24" s="79"/>
      <c r="EX24" s="79"/>
      <c r="EY24" s="79"/>
      <c r="EZ24" s="79"/>
      <c r="FA24" s="79"/>
      <c r="FB24" s="79"/>
      <c r="FC24" s="79"/>
      <c r="FD24" s="79"/>
      <c r="FE24" s="79"/>
      <c r="FF24" s="79"/>
      <c r="FG24" s="79"/>
      <c r="FH24" s="79"/>
      <c r="FI24" s="79"/>
      <c r="FJ24" s="79"/>
      <c r="FK24" s="79"/>
      <c r="FL24" s="79"/>
      <c r="FM24" s="79"/>
      <c r="FN24" s="79"/>
      <c r="FO24" s="79"/>
      <c r="FP24" s="79"/>
      <c r="FQ24" s="79"/>
      <c r="FR24" s="79"/>
      <c r="FS24" s="79"/>
      <c r="FT24" s="79"/>
      <c r="FU24" s="79"/>
      <c r="FV24" s="79"/>
      <c r="FW24" s="79"/>
      <c r="FX24" s="79"/>
      <c r="FY24" s="79"/>
      <c r="FZ24" s="79"/>
      <c r="GA24" s="79"/>
      <c r="GB24" s="79"/>
      <c r="GC24" s="79"/>
      <c r="GD24" s="79"/>
      <c r="GE24" s="79"/>
      <c r="GF24" s="79"/>
      <c r="GG24" s="79"/>
      <c r="GH24" s="79"/>
      <c r="GI24" s="79"/>
      <c r="GJ24" s="79"/>
      <c r="GK24" s="79"/>
      <c r="GL24" s="79"/>
      <c r="GM24" s="79"/>
      <c r="GN24" s="79"/>
      <c r="GO24" s="79"/>
      <c r="GP24" s="79"/>
      <c r="GQ24" s="79"/>
      <c r="GR24" s="79"/>
      <c r="GS24" s="79"/>
      <c r="GT24" s="79"/>
      <c r="GU24" s="79"/>
      <c r="GV24" s="79"/>
      <c r="GW24" s="79"/>
      <c r="GX24" s="79"/>
      <c r="GY24" s="79"/>
      <c r="GZ24" s="79"/>
      <c r="HA24" s="79"/>
      <c r="HB24" s="79"/>
      <c r="HC24" s="79"/>
      <c r="HD24" s="79"/>
      <c r="HE24" s="79"/>
      <c r="HF24" s="79"/>
      <c r="HG24" s="79"/>
      <c r="HH24" s="79"/>
      <c r="HI24" s="79"/>
      <c r="HJ24" s="79"/>
      <c r="HK24" s="79"/>
      <c r="HL24" s="79"/>
      <c r="HM24" s="79"/>
      <c r="HN24" s="79"/>
      <c r="HO24" s="79"/>
      <c r="HP24" s="79"/>
      <c r="HQ24" s="79"/>
      <c r="HR24" s="79"/>
      <c r="HS24" s="79"/>
      <c r="HT24" s="79"/>
      <c r="HU24" s="79"/>
      <c r="HV24" s="79"/>
      <c r="HW24" s="79"/>
      <c r="HX24" s="79"/>
      <c r="HY24" s="79"/>
      <c r="HZ24" s="79"/>
      <c r="IA24" s="79"/>
      <c r="IB24" s="79"/>
      <c r="IC24" s="79"/>
      <c r="ID24" s="79"/>
      <c r="IE24" s="79"/>
      <c r="IF24" s="79"/>
      <c r="IG24" s="79"/>
      <c r="IH24" s="79"/>
      <c r="II24" s="79"/>
      <c r="IJ24" s="79"/>
      <c r="IK24" s="79"/>
      <c r="IL24" s="79"/>
      <c r="IM24" s="79"/>
      <c r="IN24" s="79"/>
      <c r="IO24" s="79"/>
      <c r="IP24" s="79"/>
      <c r="IQ24" s="79"/>
      <c r="IR24" s="79"/>
      <c r="IS24" s="79"/>
      <c r="IT24" s="79"/>
      <c r="IU24" s="79"/>
      <c r="IV24" s="79"/>
      <c r="IW24" s="79"/>
      <c r="IX24" s="79"/>
      <c r="IY24" s="79"/>
      <c r="IZ24" s="79"/>
      <c r="JA24" s="79"/>
      <c r="JB24" s="79"/>
      <c r="JC24" s="79"/>
      <c r="JD24" s="79"/>
      <c r="JE24" s="79"/>
      <c r="JF24" s="79"/>
      <c r="JG24" s="79"/>
      <c r="JH24" s="79"/>
      <c r="JI24" s="79"/>
      <c r="JJ24" s="79"/>
      <c r="JK24" s="79"/>
      <c r="JL24" s="79"/>
      <c r="JM24" s="79"/>
      <c r="JN24" s="79"/>
      <c r="JO24" s="79"/>
      <c r="JP24" s="79"/>
      <c r="JQ24" s="79"/>
      <c r="JR24" s="79"/>
      <c r="JS24" s="79"/>
      <c r="JT24" s="79"/>
      <c r="JU24" s="79"/>
      <c r="JV24" s="79"/>
      <c r="JW24" s="79"/>
      <c r="JX24" s="79"/>
      <c r="JY24" s="79"/>
      <c r="JZ24" s="79"/>
      <c r="KA24" s="79"/>
      <c r="KB24" s="79"/>
      <c r="KC24" s="79"/>
      <c r="KD24" s="79"/>
      <c r="KE24" s="79"/>
      <c r="KF24" s="79"/>
      <c r="KG24" s="79"/>
      <c r="KH24" s="79"/>
      <c r="KI24" s="79"/>
      <c r="KJ24" s="79"/>
      <c r="KK24" s="79"/>
      <c r="KL24" s="79"/>
      <c r="KM24" s="79"/>
      <c r="KN24" s="79"/>
      <c r="KO24" s="79"/>
      <c r="KP24" s="79"/>
      <c r="KQ24" s="79"/>
      <c r="KR24" s="79"/>
      <c r="KS24" s="79"/>
      <c r="KT24" s="79"/>
      <c r="KU24" s="79"/>
      <c r="KV24" s="79"/>
      <c r="KW24" s="79"/>
      <c r="KX24" s="79"/>
      <c r="KY24" s="79"/>
      <c r="KZ24" s="79"/>
      <c r="LA24" s="79"/>
      <c r="LB24" s="79"/>
      <c r="LC24" s="79"/>
      <c r="LD24" s="79"/>
      <c r="LE24" s="79"/>
      <c r="LF24" s="79"/>
      <c r="LG24" s="79"/>
      <c r="LH24" s="79"/>
      <c r="LI24" s="79"/>
      <c r="LJ24" s="79"/>
      <c r="LK24" s="79"/>
      <c r="LL24" s="79"/>
      <c r="LM24" s="79"/>
      <c r="LN24" s="79"/>
      <c r="LO24" s="79"/>
      <c r="LP24" s="79"/>
      <c r="LQ24" s="79"/>
      <c r="LR24" s="79"/>
      <c r="LS24" s="79"/>
      <c r="LT24" s="79"/>
      <c r="LU24" s="79"/>
      <c r="LV24" s="79"/>
      <c r="LW24" s="79"/>
      <c r="LX24" s="79"/>
      <c r="LY24" s="79"/>
      <c r="LZ24" s="79"/>
      <c r="MA24" s="79"/>
      <c r="MB24" s="79"/>
      <c r="MC24" s="79"/>
      <c r="MD24" s="79"/>
      <c r="ME24" s="79"/>
      <c r="MF24" s="79"/>
      <c r="MG24" s="79"/>
      <c r="MH24" s="79"/>
      <c r="MI24" s="79"/>
      <c r="MJ24" s="79"/>
      <c r="MK24" s="79"/>
      <c r="ML24" s="79"/>
      <c r="MM24" s="79"/>
      <c r="MN24" s="79"/>
      <c r="MO24" s="79"/>
      <c r="MP24" s="79"/>
      <c r="MQ24" s="79"/>
      <c r="MR24" s="79"/>
      <c r="MS24" s="79"/>
      <c r="MT24" s="79"/>
      <c r="MU24" s="79"/>
      <c r="MV24" s="79"/>
      <c r="MW24" s="79"/>
      <c r="MX24" s="79"/>
      <c r="MY24" s="79"/>
      <c r="MZ24" s="79"/>
      <c r="NA24" s="79"/>
      <c r="NB24" s="79"/>
      <c r="NC24" s="79"/>
      <c r="ND24" s="79"/>
      <c r="NE24" s="79"/>
      <c r="NF24" s="79"/>
      <c r="NG24" s="79"/>
      <c r="NH24" s="79"/>
      <c r="NI24" s="79"/>
      <c r="NJ24" s="79"/>
      <c r="NK24" s="79"/>
      <c r="NL24" s="79"/>
      <c r="NM24" s="79"/>
      <c r="NN24" s="79"/>
      <c r="NO24" s="79"/>
      <c r="NP24" s="79"/>
      <c r="NQ24" s="79"/>
      <c r="NR24" s="79"/>
      <c r="NS24" s="79"/>
      <c r="NT24" s="79"/>
      <c r="NU24" s="79"/>
      <c r="NV24" s="79"/>
      <c r="NW24" s="79"/>
      <c r="NX24" s="79"/>
      <c r="NY24" s="79"/>
      <c r="NZ24" s="79"/>
    </row>
    <row r="25" spans="1:390" ht="20.100000000000001" customHeight="1" x14ac:dyDescent="0.25">
      <c r="A25" s="40" t="s">
        <v>240</v>
      </c>
      <c r="B25" s="151"/>
      <c r="C25" s="151"/>
      <c r="D25" s="151"/>
      <c r="E25" s="151"/>
      <c r="F25" s="151"/>
      <c r="G25" s="151"/>
      <c r="H25" s="151"/>
      <c r="I25" s="151"/>
      <c r="J25" s="151"/>
      <c r="K25" s="151"/>
      <c r="L25" s="151"/>
      <c r="M25" s="151"/>
      <c r="N25" s="151"/>
      <c r="O25" s="152">
        <f>SUM(Betalning_ur_kassa_tabell_1[[#This Row],[Uppskattning]:[Period 12]])</f>
        <v>0</v>
      </c>
      <c r="P25" s="175" t="s">
        <v>263</v>
      </c>
      <c r="Q25" s="77"/>
      <c r="R25" s="78"/>
      <c r="S25" s="78"/>
      <c r="T25" s="78"/>
      <c r="U25" s="79"/>
      <c r="V25" s="79"/>
      <c r="W25" s="79"/>
      <c r="X25" s="79"/>
      <c r="Y25" s="79"/>
      <c r="Z25" s="79"/>
      <c r="AA25" s="79"/>
      <c r="AB25" s="79"/>
      <c r="AC25" s="79"/>
      <c r="AD25" s="79"/>
      <c r="AE25" s="79"/>
      <c r="AF25" s="79"/>
      <c r="AG25" s="79"/>
      <c r="AH25" s="79"/>
      <c r="AI25" s="79"/>
      <c r="AJ25" s="79"/>
      <c r="AK25" s="79"/>
      <c r="AL25" s="79"/>
      <c r="AM25" s="79"/>
      <c r="AN25" s="79"/>
      <c r="AO25" s="79"/>
      <c r="AP25" s="79"/>
      <c r="AQ25" s="79"/>
      <c r="AR25" s="79"/>
      <c r="AS25" s="79"/>
      <c r="AT25" s="79"/>
      <c r="AU25" s="79"/>
      <c r="AV25" s="79"/>
      <c r="AW25" s="79"/>
      <c r="AX25" s="79"/>
      <c r="AY25" s="79"/>
      <c r="AZ25" s="79"/>
      <c r="BA25" s="79"/>
      <c r="BB25" s="79"/>
      <c r="BC25" s="79"/>
      <c r="BD25" s="79"/>
      <c r="BE25" s="79"/>
      <c r="BF25" s="79"/>
      <c r="BG25" s="79"/>
      <c r="BH25" s="79"/>
      <c r="BI25" s="79"/>
      <c r="BJ25" s="79"/>
      <c r="BK25" s="79"/>
      <c r="BL25" s="79"/>
      <c r="BM25" s="79"/>
      <c r="BN25" s="79"/>
      <c r="BO25" s="79"/>
      <c r="BP25" s="79"/>
      <c r="BQ25" s="79"/>
      <c r="BR25" s="79"/>
      <c r="BS25" s="79"/>
      <c r="BT25" s="79"/>
      <c r="BU25" s="79"/>
      <c r="BV25" s="79"/>
      <c r="BW25" s="79"/>
      <c r="BX25" s="79"/>
      <c r="BY25" s="79"/>
      <c r="BZ25" s="79"/>
      <c r="CA25" s="79"/>
      <c r="CB25" s="79"/>
      <c r="CC25" s="79"/>
      <c r="CD25" s="79"/>
      <c r="CE25" s="79"/>
      <c r="CF25" s="79"/>
      <c r="CG25" s="79"/>
      <c r="CH25" s="79"/>
      <c r="CI25" s="79"/>
      <c r="CJ25" s="79"/>
      <c r="CK25" s="79"/>
      <c r="CL25" s="79"/>
      <c r="CM25" s="79"/>
      <c r="CN25" s="79"/>
      <c r="CO25" s="79"/>
      <c r="CP25" s="79"/>
      <c r="CQ25" s="79"/>
      <c r="CR25" s="79"/>
      <c r="CS25" s="79"/>
      <c r="CT25" s="79"/>
      <c r="CU25" s="79"/>
      <c r="CV25" s="79"/>
      <c r="CW25" s="79"/>
      <c r="CX25" s="79"/>
      <c r="CY25" s="79"/>
      <c r="CZ25" s="79"/>
      <c r="DA25" s="79"/>
      <c r="DB25" s="79"/>
      <c r="DC25" s="79"/>
      <c r="DD25" s="79"/>
      <c r="DE25" s="79"/>
      <c r="DF25" s="79"/>
      <c r="DG25" s="79"/>
      <c r="DH25" s="79"/>
      <c r="DI25" s="79"/>
      <c r="DJ25" s="79"/>
      <c r="DK25" s="79"/>
      <c r="DL25" s="79"/>
      <c r="DM25" s="79"/>
      <c r="DN25" s="79"/>
      <c r="DO25" s="79"/>
      <c r="DP25" s="79"/>
      <c r="DQ25" s="79"/>
      <c r="DR25" s="79"/>
      <c r="DS25" s="79"/>
      <c r="DT25" s="79"/>
      <c r="DU25" s="79"/>
      <c r="DV25" s="79"/>
      <c r="DW25" s="79"/>
      <c r="DX25" s="79"/>
      <c r="DY25" s="79"/>
      <c r="DZ25" s="79"/>
      <c r="EA25" s="79"/>
      <c r="EB25" s="79"/>
      <c r="EC25" s="79"/>
      <c r="ED25" s="79"/>
      <c r="EE25" s="79"/>
      <c r="EF25" s="79"/>
      <c r="EG25" s="79"/>
      <c r="EH25" s="79"/>
      <c r="EI25" s="79"/>
      <c r="EJ25" s="79"/>
      <c r="EK25" s="79"/>
      <c r="EL25" s="79"/>
      <c r="EM25" s="79"/>
      <c r="EN25" s="79"/>
      <c r="EO25" s="79"/>
      <c r="EP25" s="79"/>
      <c r="EQ25" s="79"/>
      <c r="ER25" s="79"/>
      <c r="ES25" s="79"/>
      <c r="ET25" s="79"/>
      <c r="EU25" s="79"/>
      <c r="EV25" s="79"/>
      <c r="EW25" s="79"/>
      <c r="EX25" s="79"/>
      <c r="EY25" s="79"/>
      <c r="EZ25" s="79"/>
      <c r="FA25" s="79"/>
      <c r="FB25" s="79"/>
      <c r="FC25" s="79"/>
      <c r="FD25" s="79"/>
      <c r="FE25" s="79"/>
      <c r="FF25" s="79"/>
      <c r="FG25" s="79"/>
      <c r="FH25" s="79"/>
      <c r="FI25" s="79"/>
      <c r="FJ25" s="79"/>
      <c r="FK25" s="79"/>
      <c r="FL25" s="79"/>
      <c r="FM25" s="79"/>
      <c r="FN25" s="79"/>
      <c r="FO25" s="79"/>
      <c r="FP25" s="79"/>
      <c r="FQ25" s="79"/>
      <c r="FR25" s="79"/>
      <c r="FS25" s="79"/>
      <c r="FT25" s="79"/>
      <c r="FU25" s="79"/>
      <c r="FV25" s="79"/>
      <c r="FW25" s="79"/>
      <c r="FX25" s="79"/>
      <c r="FY25" s="79"/>
      <c r="FZ25" s="79"/>
      <c r="GA25" s="79"/>
      <c r="GB25" s="79"/>
      <c r="GC25" s="79"/>
      <c r="GD25" s="79"/>
      <c r="GE25" s="79"/>
      <c r="GF25" s="79"/>
      <c r="GG25" s="79"/>
      <c r="GH25" s="79"/>
      <c r="GI25" s="79"/>
      <c r="GJ25" s="79"/>
      <c r="GK25" s="79"/>
      <c r="GL25" s="79"/>
      <c r="GM25" s="79"/>
      <c r="GN25" s="79"/>
      <c r="GO25" s="79"/>
      <c r="GP25" s="79"/>
      <c r="GQ25" s="79"/>
      <c r="GR25" s="79"/>
      <c r="GS25" s="79"/>
      <c r="GT25" s="79"/>
      <c r="GU25" s="79"/>
      <c r="GV25" s="79"/>
      <c r="GW25" s="79"/>
      <c r="GX25" s="79"/>
      <c r="GY25" s="79"/>
      <c r="GZ25" s="79"/>
      <c r="HA25" s="79"/>
      <c r="HB25" s="79"/>
      <c r="HC25" s="79"/>
      <c r="HD25" s="79"/>
      <c r="HE25" s="79"/>
      <c r="HF25" s="79"/>
      <c r="HG25" s="79"/>
      <c r="HH25" s="79"/>
      <c r="HI25" s="79"/>
      <c r="HJ25" s="79"/>
      <c r="HK25" s="79"/>
      <c r="HL25" s="79"/>
      <c r="HM25" s="79"/>
      <c r="HN25" s="79"/>
      <c r="HO25" s="79"/>
      <c r="HP25" s="79"/>
      <c r="HQ25" s="79"/>
      <c r="HR25" s="79"/>
      <c r="HS25" s="79"/>
      <c r="HT25" s="79"/>
      <c r="HU25" s="79"/>
      <c r="HV25" s="79"/>
      <c r="HW25" s="79"/>
      <c r="HX25" s="79"/>
      <c r="HY25" s="79"/>
      <c r="HZ25" s="79"/>
      <c r="IA25" s="79"/>
      <c r="IB25" s="79"/>
      <c r="IC25" s="79"/>
      <c r="ID25" s="79"/>
      <c r="IE25" s="79"/>
      <c r="IF25" s="79"/>
      <c r="IG25" s="79"/>
      <c r="IH25" s="79"/>
      <c r="II25" s="79"/>
      <c r="IJ25" s="79"/>
      <c r="IK25" s="79"/>
      <c r="IL25" s="79"/>
      <c r="IM25" s="79"/>
      <c r="IN25" s="79"/>
      <c r="IO25" s="79"/>
      <c r="IP25" s="79"/>
      <c r="IQ25" s="79"/>
      <c r="IR25" s="79"/>
      <c r="IS25" s="79"/>
      <c r="IT25" s="79"/>
      <c r="IU25" s="79"/>
      <c r="IV25" s="79"/>
      <c r="IW25" s="79"/>
      <c r="IX25" s="79"/>
      <c r="IY25" s="79"/>
      <c r="IZ25" s="79"/>
      <c r="JA25" s="79"/>
      <c r="JB25" s="79"/>
      <c r="JC25" s="79"/>
      <c r="JD25" s="79"/>
      <c r="JE25" s="79"/>
      <c r="JF25" s="79"/>
      <c r="JG25" s="79"/>
      <c r="JH25" s="79"/>
      <c r="JI25" s="79"/>
      <c r="JJ25" s="79"/>
      <c r="JK25" s="79"/>
      <c r="JL25" s="79"/>
      <c r="JM25" s="79"/>
      <c r="JN25" s="79"/>
      <c r="JO25" s="79"/>
      <c r="JP25" s="79"/>
      <c r="JQ25" s="79"/>
      <c r="JR25" s="79"/>
      <c r="JS25" s="79"/>
      <c r="JT25" s="79"/>
      <c r="JU25" s="79"/>
      <c r="JV25" s="79"/>
      <c r="JW25" s="79"/>
      <c r="JX25" s="79"/>
      <c r="JY25" s="79"/>
      <c r="JZ25" s="79"/>
      <c r="KA25" s="79"/>
      <c r="KB25" s="79"/>
      <c r="KC25" s="79"/>
      <c r="KD25" s="79"/>
      <c r="KE25" s="79"/>
      <c r="KF25" s="79"/>
      <c r="KG25" s="79"/>
      <c r="KH25" s="79"/>
      <c r="KI25" s="79"/>
      <c r="KJ25" s="79"/>
      <c r="KK25" s="79"/>
      <c r="KL25" s="79"/>
      <c r="KM25" s="79"/>
      <c r="KN25" s="79"/>
      <c r="KO25" s="79"/>
      <c r="KP25" s="79"/>
      <c r="KQ25" s="79"/>
      <c r="KR25" s="79"/>
      <c r="KS25" s="79"/>
      <c r="KT25" s="79"/>
      <c r="KU25" s="79"/>
      <c r="KV25" s="79"/>
      <c r="KW25" s="79"/>
      <c r="KX25" s="79"/>
      <c r="KY25" s="79"/>
      <c r="KZ25" s="79"/>
      <c r="LA25" s="79"/>
      <c r="LB25" s="79"/>
      <c r="LC25" s="79"/>
      <c r="LD25" s="79"/>
      <c r="LE25" s="79"/>
      <c r="LF25" s="79"/>
      <c r="LG25" s="79"/>
      <c r="LH25" s="79"/>
      <c r="LI25" s="79"/>
      <c r="LJ25" s="79"/>
      <c r="LK25" s="79"/>
      <c r="LL25" s="79"/>
      <c r="LM25" s="79"/>
      <c r="LN25" s="79"/>
      <c r="LO25" s="79"/>
      <c r="LP25" s="79"/>
      <c r="LQ25" s="79"/>
      <c r="LR25" s="79"/>
      <c r="LS25" s="79"/>
      <c r="LT25" s="79"/>
      <c r="LU25" s="79"/>
      <c r="LV25" s="79"/>
      <c r="LW25" s="79"/>
      <c r="LX25" s="79"/>
      <c r="LY25" s="79"/>
      <c r="LZ25" s="79"/>
      <c r="MA25" s="79"/>
      <c r="MB25" s="79"/>
      <c r="MC25" s="79"/>
      <c r="MD25" s="79"/>
      <c r="ME25" s="79"/>
      <c r="MF25" s="79"/>
      <c r="MG25" s="79"/>
      <c r="MH25" s="79"/>
      <c r="MI25" s="79"/>
      <c r="MJ25" s="79"/>
      <c r="MK25" s="79"/>
      <c r="ML25" s="79"/>
      <c r="MM25" s="79"/>
      <c r="MN25" s="79"/>
      <c r="MO25" s="79"/>
      <c r="MP25" s="79"/>
      <c r="MQ25" s="79"/>
      <c r="MR25" s="79"/>
      <c r="MS25" s="79"/>
      <c r="MT25" s="79"/>
      <c r="MU25" s="79"/>
      <c r="MV25" s="79"/>
      <c r="MW25" s="79"/>
      <c r="MX25" s="79"/>
      <c r="MY25" s="79"/>
      <c r="MZ25" s="79"/>
      <c r="NA25" s="79"/>
      <c r="NB25" s="79"/>
      <c r="NC25" s="79"/>
      <c r="ND25" s="79"/>
      <c r="NE25" s="79"/>
      <c r="NF25" s="79"/>
      <c r="NG25" s="79"/>
      <c r="NH25" s="79"/>
      <c r="NI25" s="79"/>
      <c r="NJ25" s="79"/>
      <c r="NK25" s="79"/>
      <c r="NL25" s="79"/>
      <c r="NM25" s="79"/>
      <c r="NN25" s="79"/>
      <c r="NO25" s="79"/>
      <c r="NP25" s="79"/>
      <c r="NQ25" s="79"/>
      <c r="NR25" s="79"/>
      <c r="NS25" s="79"/>
      <c r="NT25" s="79"/>
      <c r="NU25" s="79"/>
      <c r="NV25" s="79"/>
      <c r="NW25" s="79"/>
      <c r="NX25" s="79"/>
      <c r="NY25" s="79"/>
      <c r="NZ25" s="79"/>
    </row>
    <row r="26" spans="1:390" ht="20.100000000000001" customHeight="1" x14ac:dyDescent="0.25">
      <c r="A26" s="41" t="s">
        <v>241</v>
      </c>
      <c r="B26" s="153"/>
      <c r="C26" s="153"/>
      <c r="D26" s="153"/>
      <c r="E26" s="153"/>
      <c r="F26" s="153"/>
      <c r="G26" s="153"/>
      <c r="H26" s="153"/>
      <c r="I26" s="153"/>
      <c r="J26" s="153"/>
      <c r="K26" s="153"/>
      <c r="L26" s="153"/>
      <c r="M26" s="153"/>
      <c r="N26" s="153"/>
      <c r="O26" s="154">
        <f>SUM(Betalning_ur_kassa_tabell_1[[#This Row],[Uppskattning]:[Period 12]])</f>
        <v>0</v>
      </c>
      <c r="P26" s="56" t="s">
        <v>263</v>
      </c>
      <c r="Q26" s="4"/>
      <c r="R26" s="5"/>
      <c r="S26" s="5"/>
      <c r="T26" s="5"/>
    </row>
    <row r="27" spans="1:390" ht="20.100000000000001" customHeight="1" x14ac:dyDescent="0.25">
      <c r="A27" s="18" t="s">
        <v>140</v>
      </c>
      <c r="B27" s="95"/>
      <c r="C27" s="95"/>
      <c r="D27" s="95"/>
      <c r="E27" s="95"/>
      <c r="F27" s="95"/>
      <c r="G27" s="95"/>
      <c r="H27" s="95"/>
      <c r="I27" s="95"/>
      <c r="J27" s="95"/>
      <c r="K27" s="95"/>
      <c r="L27" s="95"/>
      <c r="M27" s="95"/>
      <c r="N27" s="95"/>
      <c r="O27" s="150">
        <f>SUM(Betalning_ur_kassa_tabell_1[[#This Row],[Uppskattning]:[Period 12]])</f>
        <v>0</v>
      </c>
      <c r="P27" s="56" t="s">
        <v>263</v>
      </c>
      <c r="Q27" s="4"/>
      <c r="R27" s="5"/>
      <c r="S27" s="5"/>
      <c r="T27" s="5"/>
    </row>
    <row r="28" spans="1:390" ht="20.100000000000001" customHeight="1" x14ac:dyDescent="0.25">
      <c r="A28" s="40" t="s">
        <v>242</v>
      </c>
      <c r="B28" s="151"/>
      <c r="C28" s="151"/>
      <c r="D28" s="151"/>
      <c r="E28" s="151"/>
      <c r="F28" s="151"/>
      <c r="G28" s="151"/>
      <c r="H28" s="151"/>
      <c r="I28" s="151"/>
      <c r="J28" s="151"/>
      <c r="K28" s="151"/>
      <c r="L28" s="151"/>
      <c r="M28" s="151"/>
      <c r="N28" s="151"/>
      <c r="O28" s="152">
        <f>SUM(Betalning_ur_kassa_tabell_1[[#This Row],[Uppskattning]:[Period 12]])</f>
        <v>0</v>
      </c>
      <c r="P28" s="56" t="s">
        <v>263</v>
      </c>
      <c r="Q28" s="4"/>
      <c r="R28" s="5"/>
      <c r="S28" s="5"/>
      <c r="T28" s="5"/>
    </row>
    <row r="29" spans="1:390" ht="20.100000000000001" customHeight="1" x14ac:dyDescent="0.25">
      <c r="A29" s="41" t="s">
        <v>144</v>
      </c>
      <c r="B29" s="153"/>
      <c r="C29" s="153"/>
      <c r="D29" s="153"/>
      <c r="E29" s="153"/>
      <c r="F29" s="153"/>
      <c r="G29" s="153"/>
      <c r="H29" s="153"/>
      <c r="I29" s="153"/>
      <c r="J29" s="153"/>
      <c r="K29" s="153"/>
      <c r="L29" s="153"/>
      <c r="M29" s="153"/>
      <c r="N29" s="153"/>
      <c r="O29" s="154">
        <f>SUM(Betalning_ur_kassa_tabell_1[[#This Row],[Uppskattning]:[Period 12]])</f>
        <v>0</v>
      </c>
      <c r="P29" s="56" t="s">
        <v>263</v>
      </c>
      <c r="Q29" s="4"/>
      <c r="R29" s="5"/>
      <c r="S29" s="5"/>
      <c r="T29" s="5"/>
    </row>
    <row r="30" spans="1:390" ht="20.100000000000001" customHeight="1" x14ac:dyDescent="0.25">
      <c r="A30" s="18" t="s">
        <v>243</v>
      </c>
      <c r="B30" s="95"/>
      <c r="C30" s="95"/>
      <c r="D30" s="95"/>
      <c r="E30" s="95"/>
      <c r="F30" s="95"/>
      <c r="G30" s="95"/>
      <c r="H30" s="95"/>
      <c r="I30" s="95"/>
      <c r="J30" s="95"/>
      <c r="K30" s="95"/>
      <c r="L30" s="95"/>
      <c r="M30" s="95"/>
      <c r="N30" s="95"/>
      <c r="O30" s="150">
        <f>SUM(Betalning_ur_kassa_tabell_1[[#This Row],[Uppskattning]:[Period 12]])</f>
        <v>0</v>
      </c>
      <c r="P30" s="56" t="s">
        <v>263</v>
      </c>
      <c r="Q30" s="4"/>
      <c r="R30" s="5"/>
      <c r="S30" s="5"/>
      <c r="T30" s="5"/>
    </row>
    <row r="31" spans="1:390" ht="20.100000000000001" customHeight="1" thickBot="1" x14ac:dyDescent="0.3">
      <c r="A31" s="18" t="s">
        <v>244</v>
      </c>
      <c r="B31" s="95"/>
      <c r="C31" s="95"/>
      <c r="D31" s="95"/>
      <c r="E31" s="95"/>
      <c r="F31" s="95"/>
      <c r="G31" s="95"/>
      <c r="H31" s="95"/>
      <c r="I31" s="95"/>
      <c r="J31" s="95"/>
      <c r="K31" s="95"/>
      <c r="L31" s="95"/>
      <c r="M31" s="95"/>
      <c r="N31" s="95"/>
      <c r="O31" s="150">
        <f>SUM(Betalning_ur_kassa_tabell_1[[#This Row],[Uppskattning]:[Period 12]])</f>
        <v>0</v>
      </c>
      <c r="P31" s="56" t="s">
        <v>263</v>
      </c>
      <c r="Q31" s="4"/>
      <c r="R31" s="5"/>
      <c r="S31" s="5"/>
      <c r="T31" s="5"/>
    </row>
    <row r="32" spans="1:390" ht="30" customHeight="1" x14ac:dyDescent="0.25">
      <c r="A32" s="83" t="s">
        <v>245</v>
      </c>
      <c r="B32" s="155">
        <f>SUM(Betalning_ur_kassa_tabell_1[Uppskattning],B19)</f>
        <v>0</v>
      </c>
      <c r="C32" s="155">
        <f>SUM(Betalning_ur_kassa_tabell_1[Period 1],C19)</f>
        <v>0</v>
      </c>
      <c r="D32" s="155">
        <f>SUM(Betalning_ur_kassa_tabell_1[Period 2],D19,D21)</f>
        <v>0</v>
      </c>
      <c r="E32" s="155">
        <f>SUM(Betalning_ur_kassa_tabell_1[Period 3],E19,E21)</f>
        <v>0</v>
      </c>
      <c r="F32" s="155">
        <f>SUM(Betalning_ur_kassa_tabell_1[Period 4],F19,F21)</f>
        <v>0</v>
      </c>
      <c r="G32" s="155">
        <f>SUM(Betalning_ur_kassa_tabell_1[Period 5],G19,G21)</f>
        <v>0</v>
      </c>
      <c r="H32" s="155">
        <f>SUM(Betalning_ur_kassa_tabell_1[Period 6],H19,H21)</f>
        <v>0</v>
      </c>
      <c r="I32" s="155">
        <f>SUM(Betalning_ur_kassa_tabell_1[Period 7],I19,I21)</f>
        <v>0</v>
      </c>
      <c r="J32" s="155">
        <f>SUM(Betalning_ur_kassa_tabell_1[Period 8],J19,J21)</f>
        <v>0</v>
      </c>
      <c r="K32" s="155">
        <f>SUM(Betalning_ur_kassa_tabell_1[Period 9],K19,K21)</f>
        <v>0</v>
      </c>
      <c r="L32" s="155">
        <f>SUM(Betalning_ur_kassa_tabell_1[Period 10],L19,L21)</f>
        <v>0</v>
      </c>
      <c r="M32" s="155">
        <f>SUM(Betalning_ur_kassa_tabell_1[Period 11],M19,M21)</f>
        <v>0</v>
      </c>
      <c r="N32" s="155">
        <f>SUM(Betalning_ur_kassa_tabell_1[Period 12],N19,N21)</f>
        <v>0</v>
      </c>
      <c r="O32" s="155">
        <f>SUM(Betalning_ur_kassa_tabell_1[[#Totals],[Uppskattning]:[Period 12]])</f>
        <v>0</v>
      </c>
      <c r="P32" s="56" t="s">
        <v>263</v>
      </c>
      <c r="Q32" s="4"/>
      <c r="R32" s="5"/>
      <c r="S32" s="5"/>
      <c r="T32" s="5"/>
    </row>
    <row r="33" spans="1:20" ht="30" customHeight="1" x14ac:dyDescent="0.25">
      <c r="A33" s="17" t="s">
        <v>246</v>
      </c>
      <c r="B33" s="26" t="s">
        <v>260</v>
      </c>
      <c r="C33" s="26" t="s">
        <v>7</v>
      </c>
      <c r="D33" s="26" t="s">
        <v>8</v>
      </c>
      <c r="E33" s="26" t="s">
        <v>9</v>
      </c>
      <c r="F33" s="26" t="s">
        <v>10</v>
      </c>
      <c r="G33" s="26" t="s">
        <v>11</v>
      </c>
      <c r="H33" s="26" t="s">
        <v>12</v>
      </c>
      <c r="I33" s="26" t="s">
        <v>13</v>
      </c>
      <c r="J33" s="26" t="s">
        <v>14</v>
      </c>
      <c r="K33" s="26" t="s">
        <v>15</v>
      </c>
      <c r="L33" s="26" t="s">
        <v>16</v>
      </c>
      <c r="M33" s="26" t="s">
        <v>17</v>
      </c>
      <c r="N33" s="26" t="s">
        <v>18</v>
      </c>
      <c r="O33" s="27" t="s">
        <v>121</v>
      </c>
      <c r="P33" s="56" t="s">
        <v>263</v>
      </c>
      <c r="Q33" s="4"/>
      <c r="R33" s="5"/>
      <c r="S33" s="5"/>
      <c r="T33" s="5"/>
    </row>
    <row r="34" spans="1:20" ht="20.100000000000001" customHeight="1" x14ac:dyDescent="0.25">
      <c r="A34" s="18" t="s">
        <v>247</v>
      </c>
      <c r="B34" s="95"/>
      <c r="C34" s="95"/>
      <c r="D34" s="95"/>
      <c r="E34" s="95"/>
      <c r="F34" s="95"/>
      <c r="G34" s="95"/>
      <c r="H34" s="95"/>
      <c r="I34" s="95"/>
      <c r="J34" s="95"/>
      <c r="K34" s="95"/>
      <c r="L34" s="95"/>
      <c r="M34" s="95"/>
      <c r="N34" s="156"/>
      <c r="O34" s="150">
        <f>SUM(Finansierings_tabell_1[[#This Row],[Uppskattning]:[Period 12]])</f>
        <v>0</v>
      </c>
      <c r="P34" s="56" t="s">
        <v>263</v>
      </c>
      <c r="Q34" s="4"/>
      <c r="R34" s="5"/>
      <c r="S34" s="5"/>
      <c r="T34" s="5"/>
    </row>
    <row r="35" spans="1:20" ht="20.100000000000001" customHeight="1" x14ac:dyDescent="0.25">
      <c r="A35" s="18" t="s">
        <v>248</v>
      </c>
      <c r="B35" s="95"/>
      <c r="C35" s="95"/>
      <c r="D35" s="95"/>
      <c r="E35" s="95"/>
      <c r="F35" s="95"/>
      <c r="G35" s="95"/>
      <c r="H35" s="95"/>
      <c r="I35" s="95"/>
      <c r="J35" s="95"/>
      <c r="K35" s="95"/>
      <c r="L35" s="95"/>
      <c r="M35" s="95"/>
      <c r="N35" s="95"/>
      <c r="O35" s="150">
        <f>SUM(Finansierings_tabell_1[[#This Row],[Uppskattning]:[Period 12]])</f>
        <v>0</v>
      </c>
      <c r="P35" s="56" t="s">
        <v>263</v>
      </c>
      <c r="Q35" s="4"/>
      <c r="R35" s="5"/>
      <c r="S35" s="5"/>
      <c r="T35" s="5"/>
    </row>
    <row r="36" spans="1:20" ht="20.100000000000001" customHeight="1" x14ac:dyDescent="0.25">
      <c r="A36" s="40" t="s">
        <v>249</v>
      </c>
      <c r="B36" s="151"/>
      <c r="C36" s="151"/>
      <c r="D36" s="151"/>
      <c r="E36" s="151"/>
      <c r="F36" s="151"/>
      <c r="G36" s="151"/>
      <c r="H36" s="151"/>
      <c r="I36" s="151"/>
      <c r="J36" s="151"/>
      <c r="K36" s="151"/>
      <c r="L36" s="151"/>
      <c r="M36" s="151"/>
      <c r="N36" s="151"/>
      <c r="O36" s="152">
        <f>SUM(Finansierings_tabell_1[[#This Row],[Uppskattning]:[Period 12]])</f>
        <v>0</v>
      </c>
      <c r="P36" s="56" t="s">
        <v>263</v>
      </c>
      <c r="Q36" s="4"/>
      <c r="R36" s="5"/>
      <c r="S36" s="5"/>
      <c r="T36" s="5"/>
    </row>
    <row r="37" spans="1:20" ht="20.100000000000001" customHeight="1" x14ac:dyDescent="0.25">
      <c r="A37" s="41" t="s">
        <v>250</v>
      </c>
      <c r="B37" s="153"/>
      <c r="C37" s="153"/>
      <c r="D37" s="153"/>
      <c r="E37" s="153"/>
      <c r="F37" s="153"/>
      <c r="G37" s="153"/>
      <c r="H37" s="153"/>
      <c r="I37" s="153"/>
      <c r="J37" s="153"/>
      <c r="K37" s="153"/>
      <c r="L37" s="153"/>
      <c r="M37" s="153"/>
      <c r="N37" s="153"/>
      <c r="O37" s="154">
        <f>SUM(Finansierings_tabell_1[[#This Row],[Uppskattning]:[Period 12]])</f>
        <v>0</v>
      </c>
      <c r="P37" s="56" t="s">
        <v>263</v>
      </c>
      <c r="Q37" s="4"/>
      <c r="R37" s="5"/>
      <c r="S37" s="5"/>
      <c r="T37" s="5"/>
    </row>
    <row r="38" spans="1:20" ht="20.100000000000001" customHeight="1" x14ac:dyDescent="0.25">
      <c r="A38" s="18" t="s">
        <v>251</v>
      </c>
      <c r="B38" s="95"/>
      <c r="C38" s="95"/>
      <c r="D38" s="95"/>
      <c r="E38" s="95"/>
      <c r="F38" s="95"/>
      <c r="G38" s="95"/>
      <c r="H38" s="95"/>
      <c r="I38" s="95"/>
      <c r="J38" s="95"/>
      <c r="K38" s="95"/>
      <c r="L38" s="95"/>
      <c r="M38" s="95"/>
      <c r="N38" s="95"/>
      <c r="O38" s="150">
        <f>SUM(Finansierings_tabell_1[[#This Row],[Uppskattning]:[Period 12]])</f>
        <v>0</v>
      </c>
      <c r="P38" s="56" t="s">
        <v>263</v>
      </c>
      <c r="Q38" s="4"/>
      <c r="R38" s="5"/>
      <c r="S38" s="5"/>
      <c r="T38" s="5"/>
    </row>
    <row r="39" spans="1:20" ht="20.100000000000001" customHeight="1" thickBot="1" x14ac:dyDescent="0.3">
      <c r="A39" s="40" t="s">
        <v>252</v>
      </c>
      <c r="B39" s="151"/>
      <c r="C39" s="151"/>
      <c r="D39" s="151"/>
      <c r="E39" s="151"/>
      <c r="F39" s="151"/>
      <c r="G39" s="151"/>
      <c r="H39" s="151"/>
      <c r="I39" s="151"/>
      <c r="J39" s="151"/>
      <c r="K39" s="151"/>
      <c r="L39" s="151"/>
      <c r="M39" s="151"/>
      <c r="N39" s="151"/>
      <c r="O39" s="152">
        <f>SUM(Finansierings_tabell_1[[#This Row],[Uppskattning]:[Period 12]])</f>
        <v>0</v>
      </c>
      <c r="P39" s="56" t="s">
        <v>263</v>
      </c>
      <c r="Q39" s="4"/>
      <c r="R39" s="5"/>
      <c r="S39" s="5"/>
      <c r="T39" s="5"/>
    </row>
    <row r="40" spans="1:20" ht="30" customHeight="1" x14ac:dyDescent="0.25">
      <c r="A40" s="165" t="s">
        <v>253</v>
      </c>
      <c r="B40" s="166">
        <f t="shared" ref="B40:N40" si="16">SUM(-B34,B35:B36,-B37,B38:B39)</f>
        <v>0</v>
      </c>
      <c r="C40" s="166">
        <f t="shared" si="16"/>
        <v>0</v>
      </c>
      <c r="D40" s="166">
        <f t="shared" si="16"/>
        <v>0</v>
      </c>
      <c r="E40" s="166">
        <f>SUM(-E34,E35:E36,-E37,E38:E39)</f>
        <v>0</v>
      </c>
      <c r="F40" s="166">
        <f t="shared" si="16"/>
        <v>0</v>
      </c>
      <c r="G40" s="166">
        <f t="shared" si="16"/>
        <v>0</v>
      </c>
      <c r="H40" s="166">
        <f t="shared" si="16"/>
        <v>0</v>
      </c>
      <c r="I40" s="166">
        <f t="shared" si="16"/>
        <v>0</v>
      </c>
      <c r="J40" s="166">
        <f t="shared" si="16"/>
        <v>0</v>
      </c>
      <c r="K40" s="166">
        <f t="shared" si="16"/>
        <v>0</v>
      </c>
      <c r="L40" s="166">
        <f t="shared" si="16"/>
        <v>0</v>
      </c>
      <c r="M40" s="166">
        <f t="shared" si="16"/>
        <v>0</v>
      </c>
      <c r="N40" s="166">
        <f t="shared" si="16"/>
        <v>0</v>
      </c>
      <c r="O40" s="166">
        <f>SUM(Finansierings_tabell_1[[#Totals],[Uppskattning]:[Period 12]])</f>
        <v>0</v>
      </c>
      <c r="P40" s="56" t="s">
        <v>263</v>
      </c>
      <c r="Q40" s="4"/>
      <c r="R40" s="5"/>
      <c r="S40" s="5"/>
      <c r="T40" s="5"/>
    </row>
    <row r="41" spans="1:20" ht="30" customHeight="1" x14ac:dyDescent="0.25">
      <c r="A41" s="167" t="s">
        <v>254</v>
      </c>
      <c r="B41" s="168" t="s">
        <v>260</v>
      </c>
      <c r="C41" s="168" t="s">
        <v>7</v>
      </c>
      <c r="D41" s="168" t="s">
        <v>8</v>
      </c>
      <c r="E41" s="168" t="s">
        <v>9</v>
      </c>
      <c r="F41" s="168" t="s">
        <v>10</v>
      </c>
      <c r="G41" s="168" t="s">
        <v>11</v>
      </c>
      <c r="H41" s="168" t="s">
        <v>12</v>
      </c>
      <c r="I41" s="168" t="s">
        <v>13</v>
      </c>
      <c r="J41" s="168" t="s">
        <v>14</v>
      </c>
      <c r="K41" s="168" t="s">
        <v>15</v>
      </c>
      <c r="L41" s="168" t="s">
        <v>16</v>
      </c>
      <c r="M41" s="168" t="s">
        <v>17</v>
      </c>
      <c r="N41" s="168" t="s">
        <v>18</v>
      </c>
      <c r="O41" s="168" t="s">
        <v>121</v>
      </c>
      <c r="P41" s="56" t="s">
        <v>263</v>
      </c>
      <c r="Q41" s="4"/>
      <c r="R41" s="5"/>
      <c r="S41" s="5"/>
      <c r="T41" s="5"/>
    </row>
    <row r="42" spans="1:20" ht="50.1" customHeight="1" x14ac:dyDescent="0.25">
      <c r="A42" s="200" t="s">
        <v>255</v>
      </c>
      <c r="B42" s="132">
        <f>SUM(Startkassa_och_intäkter_tabell_1[Uppskattning],-Betalning_ur_kassa_tabell_1[[#Totals],[Uppskattning]],Finansierings_tabell_1[[#Totals],[Uppskattning]])</f>
        <v>0</v>
      </c>
      <c r="C42" s="132">
        <f>SUM(Startkassa_och_intäkter_tabell_1[Period 1],-Betalning_ur_kassa_tabell_1[[#Totals],[Period 1]],Finansierings_tabell_1[[#Totals],[Period 1]])</f>
        <v>0</v>
      </c>
      <c r="D42" s="132">
        <f>SUM(Startkassa_och_intäkter_tabell_1[Period 2],-Betalning_ur_kassa_tabell_1[[#Totals],[Period 2]],Finansierings_tabell_1[[#Totals],[Period 2]])</f>
        <v>0</v>
      </c>
      <c r="E42" s="132">
        <f>SUM(Startkassa_och_intäkter_tabell_1[Period 3],-Betalning_ur_kassa_tabell_1[[#Totals],[Period 3]],Finansierings_tabell_1[[#Totals],[Period 3]])</f>
        <v>0</v>
      </c>
      <c r="F42" s="132">
        <f>SUM(Startkassa_och_intäkter_tabell_1[Period 4],-Betalning_ur_kassa_tabell_1[[#Totals],[Period 4]],Finansierings_tabell_1[[#Totals],[Period 4]])</f>
        <v>0</v>
      </c>
      <c r="G42" s="132">
        <f>SUM(Startkassa_och_intäkter_tabell_1[Period 5],-Betalning_ur_kassa_tabell_1[[#Totals],[Period 5]],Finansierings_tabell_1[[#Totals],[Period 5]])</f>
        <v>0</v>
      </c>
      <c r="H42" s="132">
        <f>SUM(Startkassa_och_intäkter_tabell_1[Period 6],-Betalning_ur_kassa_tabell_1[[#Totals],[Period 6]],Finansierings_tabell_1[[#Totals],[Period 6]])</f>
        <v>0</v>
      </c>
      <c r="I42" s="132">
        <f>SUM(Startkassa_och_intäkter_tabell_1[Period 7],-Betalning_ur_kassa_tabell_1[[#Totals],[Period 7]],Finansierings_tabell_1[[#Totals],[Period 7]])</f>
        <v>0</v>
      </c>
      <c r="J42" s="132">
        <f>SUM(Startkassa_och_intäkter_tabell_1[Period 8],-Betalning_ur_kassa_tabell_1[[#Totals],[Period 8]],Finansierings_tabell_1[[#Totals],[Period 8]])</f>
        <v>0</v>
      </c>
      <c r="K42" s="132">
        <f>SUM(Startkassa_och_intäkter_tabell_1[Period 9],-Betalning_ur_kassa_tabell_1[[#Totals],[Period 9]],Finansierings_tabell_1[[#Totals],[Period 9]])</f>
        <v>0</v>
      </c>
      <c r="L42" s="132">
        <f>SUM(Startkassa_och_intäkter_tabell_1[Period 10],-Betalning_ur_kassa_tabell_1[[#Totals],[Period 10]],Finansierings_tabell_1[[#Totals],[Period 10]])</f>
        <v>0</v>
      </c>
      <c r="M42" s="132">
        <f>SUM(Startkassa_och_intäkter_tabell_1[Period 11],-Betalning_ur_kassa_tabell_1[[#Totals],[Period 11]],Finansierings_tabell_1[[#Totals],[Period 11]])</f>
        <v>0</v>
      </c>
      <c r="N42" s="132">
        <f>SUM(Startkassa_och_intäkter_tabell_1[Period 12],-Betalning_ur_kassa_tabell_1[[#Totals],[Period 12]],Finansierings_tabell_1[[#Totals],[Period 12]])</f>
        <v>0</v>
      </c>
      <c r="O42" s="132"/>
      <c r="P42" s="56" t="s">
        <v>263</v>
      </c>
      <c r="Q42" s="4"/>
      <c r="R42" s="4"/>
      <c r="S42" s="4"/>
      <c r="T42" s="4"/>
    </row>
    <row r="43" spans="1:20" ht="30" hidden="1" customHeight="1" x14ac:dyDescent="0.25">
      <c r="A43" s="195" t="s">
        <v>258</v>
      </c>
      <c r="B43" s="193">
        <f>B42</f>
        <v>0</v>
      </c>
      <c r="C43" s="194">
        <f>SUM(C42,-B42)</f>
        <v>0</v>
      </c>
      <c r="D43" s="194">
        <f t="shared" ref="D43:N43" si="17">SUM(D42,-C42)</f>
        <v>0</v>
      </c>
      <c r="E43" s="194">
        <f>SUM(E42,-D42)</f>
        <v>0</v>
      </c>
      <c r="F43" s="194">
        <f t="shared" si="17"/>
        <v>0</v>
      </c>
      <c r="G43" s="194">
        <f t="shared" si="17"/>
        <v>0</v>
      </c>
      <c r="H43" s="194">
        <f t="shared" si="17"/>
        <v>0</v>
      </c>
      <c r="I43" s="194">
        <f t="shared" si="17"/>
        <v>0</v>
      </c>
      <c r="J43" s="194">
        <f t="shared" si="17"/>
        <v>0</v>
      </c>
      <c r="K43" s="194">
        <f t="shared" si="17"/>
        <v>0</v>
      </c>
      <c r="L43" s="194">
        <f t="shared" si="17"/>
        <v>0</v>
      </c>
      <c r="M43" s="194">
        <f t="shared" si="17"/>
        <v>0</v>
      </c>
      <c r="N43" s="194">
        <f t="shared" si="17"/>
        <v>0</v>
      </c>
      <c r="O43" s="164">
        <f>SUM(Betalningsberedskap_tabell_1[[#This Row],[Uppskattning]:[Period 12]])</f>
        <v>0</v>
      </c>
      <c r="P43" s="170" t="s">
        <v>263</v>
      </c>
      <c r="Q43" s="5"/>
      <c r="R43" s="5"/>
      <c r="S43" s="5"/>
      <c r="T43" s="5"/>
    </row>
    <row r="44" spans="1:20" ht="30" customHeight="1" x14ac:dyDescent="0.25">
      <c r="A44" s="171" t="s">
        <v>256</v>
      </c>
      <c r="B44" s="39" t="s">
        <v>78</v>
      </c>
      <c r="C44" s="39" t="s">
        <v>78</v>
      </c>
      <c r="D44" s="39" t="s">
        <v>78</v>
      </c>
      <c r="E44" s="39" t="s">
        <v>78</v>
      </c>
      <c r="F44" s="39" t="s">
        <v>78</v>
      </c>
      <c r="G44" s="39" t="s">
        <v>78</v>
      </c>
      <c r="H44" s="39" t="s">
        <v>78</v>
      </c>
      <c r="I44" s="39" t="s">
        <v>78</v>
      </c>
      <c r="J44" s="39" t="s">
        <v>78</v>
      </c>
      <c r="K44" s="39" t="s">
        <v>78</v>
      </c>
      <c r="L44" s="39" t="s">
        <v>78</v>
      </c>
      <c r="M44" s="39" t="s">
        <v>78</v>
      </c>
      <c r="N44" s="39" t="s">
        <v>78</v>
      </c>
      <c r="O44" s="39" t="s">
        <v>78</v>
      </c>
      <c r="P44" s="56" t="s">
        <v>263</v>
      </c>
      <c r="Q44" s="5"/>
      <c r="R44" s="5"/>
      <c r="S44" s="5"/>
      <c r="T44" s="5"/>
    </row>
    <row r="45" spans="1:20" ht="180" customHeight="1" x14ac:dyDescent="0.25">
      <c r="A45" s="173" t="s">
        <v>257</v>
      </c>
      <c r="B45" s="39" t="s">
        <v>78</v>
      </c>
      <c r="C45" s="39" t="s">
        <v>78</v>
      </c>
      <c r="D45" s="39" t="s">
        <v>78</v>
      </c>
      <c r="E45" s="39" t="s">
        <v>78</v>
      </c>
      <c r="F45" s="39" t="s">
        <v>78</v>
      </c>
      <c r="G45" s="39" t="s">
        <v>78</v>
      </c>
      <c r="H45" s="39" t="s">
        <v>78</v>
      </c>
      <c r="I45" s="39" t="s">
        <v>78</v>
      </c>
      <c r="J45" s="39" t="s">
        <v>78</v>
      </c>
      <c r="K45" s="39" t="s">
        <v>78</v>
      </c>
      <c r="L45" s="39" t="s">
        <v>78</v>
      </c>
      <c r="M45" s="39" t="s">
        <v>78</v>
      </c>
      <c r="N45" s="39" t="s">
        <v>78</v>
      </c>
      <c r="O45" s="39" t="s">
        <v>78</v>
      </c>
      <c r="P45" s="56" t="s">
        <v>263</v>
      </c>
      <c r="Q45" s="4" t="s">
        <v>264</v>
      </c>
    </row>
    <row r="46" spans="1:20" ht="18" customHeight="1" x14ac:dyDescent="0.25">
      <c r="A46" s="174" t="s">
        <v>3</v>
      </c>
      <c r="B46" s="39" t="s">
        <v>78</v>
      </c>
      <c r="C46" s="39" t="s">
        <v>78</v>
      </c>
      <c r="D46" s="39" t="s">
        <v>78</v>
      </c>
      <c r="E46" s="39" t="s">
        <v>78</v>
      </c>
      <c r="F46" s="39" t="s">
        <v>78</v>
      </c>
      <c r="G46" s="39" t="s">
        <v>78</v>
      </c>
      <c r="H46" s="39" t="s">
        <v>78</v>
      </c>
      <c r="I46" s="39" t="s">
        <v>78</v>
      </c>
      <c r="J46" s="39" t="s">
        <v>78</v>
      </c>
      <c r="K46" s="39" t="s">
        <v>78</v>
      </c>
      <c r="L46" s="39" t="s">
        <v>78</v>
      </c>
      <c r="M46" s="39" t="s">
        <v>78</v>
      </c>
      <c r="N46" s="39" t="s">
        <v>78</v>
      </c>
      <c r="O46" s="39" t="s">
        <v>78</v>
      </c>
      <c r="P46" s="170" t="s">
        <v>263</v>
      </c>
      <c r="Q46" s="5"/>
      <c r="R46" s="5"/>
      <c r="S46" s="5"/>
      <c r="T46" s="5"/>
    </row>
    <row r="47" spans="1:20" ht="3.95" customHeight="1" x14ac:dyDescent="0.25">
      <c r="A47" s="56" t="s">
        <v>264</v>
      </c>
      <c r="B47" s="56" t="s">
        <v>264</v>
      </c>
      <c r="C47" s="56" t="s">
        <v>264</v>
      </c>
      <c r="D47" s="56" t="s">
        <v>264</v>
      </c>
      <c r="E47" s="56" t="s">
        <v>264</v>
      </c>
      <c r="F47" s="56" t="s">
        <v>264</v>
      </c>
      <c r="G47" s="56" t="s">
        <v>264</v>
      </c>
      <c r="H47" s="56" t="s">
        <v>264</v>
      </c>
      <c r="I47" s="56" t="s">
        <v>264</v>
      </c>
      <c r="J47" s="56" t="s">
        <v>264</v>
      </c>
      <c r="K47" s="56" t="s">
        <v>264</v>
      </c>
      <c r="L47" s="56" t="s">
        <v>264</v>
      </c>
      <c r="M47" s="56" t="s">
        <v>264</v>
      </c>
      <c r="N47" s="56" t="s">
        <v>264</v>
      </c>
      <c r="O47" s="56" t="s">
        <v>264</v>
      </c>
      <c r="P47" s="170" t="s">
        <v>263</v>
      </c>
    </row>
  </sheetData>
  <sheetProtection sheet="1" objects="1" scenarios="1"/>
  <conditionalFormatting sqref="C9:O9 B17:O17 B42:O43">
    <cfRule type="expression" dxfId="2" priority="3">
      <formula>B9&lt;0</formula>
    </cfRule>
  </conditionalFormatting>
  <pageMargins left="0.7" right="0.7" top="0.75" bottom="0.75" header="0.3" footer="0.3"/>
  <pageSetup paperSize="9" orientation="portrait" horizontalDpi="0" verticalDpi="0"/>
  <drawing r:id="rId1"/>
  <legacyDrawing r:id="rId2"/>
  <tableParts count="8">
    <tablePart r:id="rId3"/>
    <tablePart r:id="rId4"/>
    <tablePart r:id="rId5"/>
    <tablePart r:id="rId6"/>
    <tablePart r:id="rId7"/>
    <tablePart r:id="rId8"/>
    <tablePart r:id="rId9"/>
    <tablePart r:id="rId10"/>
  </tableParts>
  <extLst>
    <ext xmlns:x14="http://schemas.microsoft.com/office/spreadsheetml/2009/9/main" uri="{78C0D931-6437-407d-A8EE-F0AAD7539E65}">
      <x14:conditionalFormattings>
        <x14:conditionalFormatting xmlns:xm="http://schemas.microsoft.com/office/excel/2006/main">
          <x14:cfRule type="iconSet" priority="4" id="{42E76221-8319-3E4E-95E9-EB18888182D6}">
            <x14:iconSet iconSet="3Flags" custom="1">
              <x14:cfvo type="percent">
                <xm:f>0</xm:f>
              </x14:cfvo>
              <x14:cfvo type="num">
                <xm:f>0</xm:f>
              </x14:cfvo>
              <x14:cfvo type="num">
                <xm:f>1</xm:f>
              </x14:cfvo>
              <x14:cfIcon iconSet="3Flags" iconId="0"/>
              <x14:cfIcon iconSet="NoIcons" iconId="0"/>
              <x14:cfIcon iconSet="NoIcons" iconId="0"/>
            </x14:iconSet>
          </x14:cfRule>
          <xm:sqref>B17:O17 C9:O9</xm:sqref>
        </x14:conditionalFormatting>
        <x14:conditionalFormatting xmlns:xm="http://schemas.microsoft.com/office/excel/2006/main">
          <x14:cfRule type="iconSet" priority="6" id="{5C607068-8A4F-0042-BF0B-735B67B3B873}">
            <x14:iconSet iconSet="3Flags" custom="1">
              <x14:cfvo type="percent">
                <xm:f>0</xm:f>
              </x14:cfvo>
              <x14:cfvo type="num" gte="0">
                <xm:f>0</xm:f>
              </x14:cfvo>
              <x14:cfvo type="num" gte="0">
                <xm:f>1</xm:f>
              </x14:cfvo>
              <x14:cfIcon iconSet="3Flags" iconId="0"/>
              <x14:cfIcon iconSet="NoIcons" iconId="0"/>
              <x14:cfIcon iconSet="NoIcons" iconId="0"/>
            </x14:iconSet>
          </x14:cfRule>
          <xm:sqref>B42:O43</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F9D5F4-B8EA-304C-A54E-C5E865B73DEF}">
  <dimension ref="A1:NX47"/>
  <sheetViews>
    <sheetView zoomScale="80" zoomScaleNormal="80" workbookViewId="0">
      <selection activeCell="C2" sqref="C2"/>
    </sheetView>
  </sheetViews>
  <sheetFormatPr defaultColWidth="10.875" defaultRowHeight="18" x14ac:dyDescent="0.25"/>
  <cols>
    <col min="1" max="1" width="73.875" style="2" customWidth="1"/>
    <col min="2" max="14" width="23.875" style="2" customWidth="1"/>
    <col min="15" max="15" width="0.625" style="2" customWidth="1"/>
    <col min="16" max="16384" width="10.875" style="2"/>
  </cols>
  <sheetData>
    <row r="1" spans="1:18" ht="60" customHeight="1" x14ac:dyDescent="0.25">
      <c r="A1" s="56" t="s">
        <v>265</v>
      </c>
      <c r="B1" s="39" t="s">
        <v>78</v>
      </c>
      <c r="C1" s="39" t="s">
        <v>78</v>
      </c>
      <c r="D1" s="39" t="s">
        <v>78</v>
      </c>
      <c r="E1" s="39" t="s">
        <v>78</v>
      </c>
      <c r="F1" s="39" t="s">
        <v>78</v>
      </c>
      <c r="G1" s="39" t="s">
        <v>78</v>
      </c>
      <c r="H1" s="39" t="s">
        <v>78</v>
      </c>
      <c r="I1" s="39" t="s">
        <v>78</v>
      </c>
      <c r="J1" s="39" t="s">
        <v>78</v>
      </c>
      <c r="K1" s="39" t="s">
        <v>78</v>
      </c>
      <c r="L1" s="39" t="s">
        <v>78</v>
      </c>
      <c r="M1" s="39" t="s">
        <v>78</v>
      </c>
      <c r="N1" s="39" t="s">
        <v>78</v>
      </c>
      <c r="O1" s="56" t="s">
        <v>267</v>
      </c>
    </row>
    <row r="2" spans="1:18" ht="30" customHeight="1" x14ac:dyDescent="0.25">
      <c r="A2" s="1" t="s">
        <v>220</v>
      </c>
      <c r="B2" s="39" t="s">
        <v>78</v>
      </c>
      <c r="C2" s="39" t="s">
        <v>78</v>
      </c>
      <c r="D2" s="39" t="s">
        <v>78</v>
      </c>
      <c r="E2" s="39" t="s">
        <v>78</v>
      </c>
      <c r="F2" s="39" t="s">
        <v>78</v>
      </c>
      <c r="G2" s="39" t="s">
        <v>78</v>
      </c>
      <c r="H2" s="39" t="s">
        <v>78</v>
      </c>
      <c r="I2" s="39" t="s">
        <v>78</v>
      </c>
      <c r="J2" s="39" t="s">
        <v>78</v>
      </c>
      <c r="K2" s="39" t="s">
        <v>78</v>
      </c>
      <c r="L2" s="39" t="s">
        <v>78</v>
      </c>
      <c r="M2" s="39" t="s">
        <v>78</v>
      </c>
      <c r="N2" s="39" t="s">
        <v>78</v>
      </c>
      <c r="O2" s="56" t="s">
        <v>267</v>
      </c>
      <c r="P2" s="5"/>
      <c r="Q2" s="5"/>
      <c r="R2" s="5"/>
    </row>
    <row r="3" spans="1:18" ht="24.95" customHeight="1" x14ac:dyDescent="0.25">
      <c r="A3" s="2" t="s">
        <v>266</v>
      </c>
      <c r="B3" s="39" t="s">
        <v>78</v>
      </c>
      <c r="C3" s="39" t="s">
        <v>78</v>
      </c>
      <c r="D3" s="39" t="s">
        <v>78</v>
      </c>
      <c r="E3" s="39" t="s">
        <v>78</v>
      </c>
      <c r="F3" s="39" t="s">
        <v>78</v>
      </c>
      <c r="G3" s="39" t="s">
        <v>78</v>
      </c>
      <c r="H3" s="39" t="s">
        <v>78</v>
      </c>
      <c r="I3" s="39" t="s">
        <v>78</v>
      </c>
      <c r="J3" s="39" t="s">
        <v>78</v>
      </c>
      <c r="K3" s="39" t="s">
        <v>78</v>
      </c>
      <c r="L3" s="39" t="s">
        <v>78</v>
      </c>
      <c r="M3" s="39" t="s">
        <v>78</v>
      </c>
      <c r="N3" s="39" t="s">
        <v>78</v>
      </c>
      <c r="O3" s="56" t="s">
        <v>267</v>
      </c>
      <c r="P3" s="5"/>
      <c r="Q3" s="5"/>
      <c r="R3" s="5"/>
    </row>
    <row r="4" spans="1:18" ht="18.75" x14ac:dyDescent="0.25">
      <c r="A4" s="6" t="s">
        <v>222</v>
      </c>
      <c r="B4" s="39" t="s">
        <v>78</v>
      </c>
      <c r="C4" s="39" t="s">
        <v>78</v>
      </c>
      <c r="D4" s="39" t="s">
        <v>78</v>
      </c>
      <c r="E4" s="39" t="s">
        <v>78</v>
      </c>
      <c r="F4" s="39" t="s">
        <v>78</v>
      </c>
      <c r="G4" s="39" t="s">
        <v>78</v>
      </c>
      <c r="H4" s="39" t="s">
        <v>78</v>
      </c>
      <c r="I4" s="39" t="s">
        <v>78</v>
      </c>
      <c r="J4" s="39" t="s">
        <v>78</v>
      </c>
      <c r="K4" s="39" t="s">
        <v>78</v>
      </c>
      <c r="L4" s="39" t="s">
        <v>78</v>
      </c>
      <c r="M4" s="39" t="s">
        <v>78</v>
      </c>
      <c r="N4" s="39" t="s">
        <v>78</v>
      </c>
      <c r="O4" s="56" t="s">
        <v>267</v>
      </c>
      <c r="P4" s="5"/>
      <c r="Q4" s="5"/>
      <c r="R4" s="5"/>
    </row>
    <row r="5" spans="1:18" ht="30" customHeight="1" x14ac:dyDescent="0.25">
      <c r="A5" s="157">
        <v>25.5</v>
      </c>
      <c r="B5" s="39" t="s">
        <v>78</v>
      </c>
      <c r="C5" s="39" t="s">
        <v>78</v>
      </c>
      <c r="D5" s="39" t="s">
        <v>78</v>
      </c>
      <c r="E5" s="39" t="s">
        <v>78</v>
      </c>
      <c r="F5" s="39" t="s">
        <v>78</v>
      </c>
      <c r="G5" s="39" t="s">
        <v>78</v>
      </c>
      <c r="H5" s="39" t="s">
        <v>78</v>
      </c>
      <c r="I5" s="39" t="s">
        <v>78</v>
      </c>
      <c r="J5" s="39" t="s">
        <v>78</v>
      </c>
      <c r="K5" s="39" t="s">
        <v>78</v>
      </c>
      <c r="L5" s="39" t="s">
        <v>78</v>
      </c>
      <c r="M5" s="39" t="s">
        <v>78</v>
      </c>
      <c r="N5" s="39" t="s">
        <v>78</v>
      </c>
      <c r="O5" s="56" t="s">
        <v>267</v>
      </c>
      <c r="P5" s="5"/>
      <c r="Q5" s="5"/>
      <c r="R5" s="5"/>
    </row>
    <row r="6" spans="1:18" ht="18.75" x14ac:dyDescent="0.25">
      <c r="A6" s="6" t="s">
        <v>223</v>
      </c>
      <c r="B6" s="39" t="s">
        <v>78</v>
      </c>
      <c r="C6" s="39" t="s">
        <v>78</v>
      </c>
      <c r="D6" s="39" t="s">
        <v>78</v>
      </c>
      <c r="E6" s="39" t="s">
        <v>78</v>
      </c>
      <c r="F6" s="39" t="s">
        <v>78</v>
      </c>
      <c r="G6" s="39" t="s">
        <v>78</v>
      </c>
      <c r="H6" s="39" t="s">
        <v>78</v>
      </c>
      <c r="I6" s="39" t="s">
        <v>78</v>
      </c>
      <c r="J6" s="39" t="s">
        <v>78</v>
      </c>
      <c r="K6" s="39" t="s">
        <v>78</v>
      </c>
      <c r="L6" s="39" t="s">
        <v>78</v>
      </c>
      <c r="M6" s="39" t="s">
        <v>78</v>
      </c>
      <c r="N6" s="39" t="s">
        <v>78</v>
      </c>
      <c r="O6" s="56" t="s">
        <v>267</v>
      </c>
      <c r="P6" s="5"/>
      <c r="Q6" s="5"/>
      <c r="R6" s="5"/>
    </row>
    <row r="7" spans="1:18" ht="39.950000000000003" customHeight="1" x14ac:dyDescent="0.25">
      <c r="A7" s="42">
        <v>46388</v>
      </c>
      <c r="B7" s="43" t="str">
        <f>UPPER(TEXT(Räkenskapsperioden_börjar,"[$-041D]kkk"))</f>
        <v>JAN</v>
      </c>
      <c r="C7" s="43" t="str">
        <f>UPPER(TEXT(EOMONTH(Räkenskapsperioden_börjar,1),"[$-041D]kkk"))</f>
        <v>FEB</v>
      </c>
      <c r="D7" s="43" t="str">
        <f>UPPER(TEXT(EOMONTH(Räkenskapsperioden_börjar,2),"[$-041D]kkk"))</f>
        <v>MAR</v>
      </c>
      <c r="E7" s="43" t="str">
        <f>UPPER(TEXT(EOMONTH(Räkenskapsperioden_börjar,3),"[$-041D]kkk"))</f>
        <v>APR</v>
      </c>
      <c r="F7" s="43" t="str">
        <f>UPPER(TEXT(EOMONTH(Räkenskapsperioden_börjar,4),"[$-041D]kkk"))</f>
        <v>MAJ</v>
      </c>
      <c r="G7" s="43" t="str">
        <f>UPPER(TEXT(EOMONTH(Räkenskapsperioden_börjar,5),"[$-041D]kkk"))</f>
        <v>JUN</v>
      </c>
      <c r="H7" s="43" t="str">
        <f>UPPER(TEXT(EOMONTH(Räkenskapsperioden_börjar,6),"[$-041D]kkk"))</f>
        <v>JUL</v>
      </c>
      <c r="I7" s="43" t="str">
        <f>UPPER(TEXT(EOMONTH(Räkenskapsperioden_börjar,7),"[$-041D]kkk"))</f>
        <v>AUG</v>
      </c>
      <c r="J7" s="43" t="str">
        <f>UPPER(TEXT(EOMONTH(Räkenskapsperioden_börjar,8),"[$-041D]kkk"))</f>
        <v>SEP</v>
      </c>
      <c r="K7" s="43" t="str">
        <f>UPPER(TEXT(EOMONTH(Räkenskapsperioden_börjar,9),"[$-041D]kkk"))</f>
        <v>OKT</v>
      </c>
      <c r="L7" s="43" t="str">
        <f>UPPER(TEXT(EOMONTH(Räkenskapsperioden_börjar,10),"[$-041D]kkk"))</f>
        <v>NOV</v>
      </c>
      <c r="M7" s="43" t="str">
        <f>UPPER(TEXT(EOMONTH(Räkenskapsperioden_börjar,11),"[$-041D]kkk"))</f>
        <v>DEC</v>
      </c>
      <c r="N7" s="43" t="s">
        <v>262</v>
      </c>
      <c r="O7" s="56" t="s">
        <v>267</v>
      </c>
      <c r="P7" s="5"/>
      <c r="Q7" s="5"/>
      <c r="R7" s="5"/>
    </row>
    <row r="8" spans="1:18" ht="30" customHeight="1" x14ac:dyDescent="0.25">
      <c r="A8" s="44" t="s">
        <v>224</v>
      </c>
      <c r="B8" s="26" t="s">
        <v>7</v>
      </c>
      <c r="C8" s="26" t="s">
        <v>8</v>
      </c>
      <c r="D8" s="26" t="s">
        <v>9</v>
      </c>
      <c r="E8" s="26" t="s">
        <v>10</v>
      </c>
      <c r="F8" s="26" t="s">
        <v>11</v>
      </c>
      <c r="G8" s="26" t="s">
        <v>12</v>
      </c>
      <c r="H8" s="26" t="s">
        <v>13</v>
      </c>
      <c r="I8" s="26" t="s">
        <v>14</v>
      </c>
      <c r="J8" s="26" t="s">
        <v>15</v>
      </c>
      <c r="K8" s="26" t="s">
        <v>16</v>
      </c>
      <c r="L8" s="26" t="s">
        <v>17</v>
      </c>
      <c r="M8" s="26" t="s">
        <v>18</v>
      </c>
      <c r="N8" s="27" t="s">
        <v>121</v>
      </c>
      <c r="O8" s="56" t="s">
        <v>267</v>
      </c>
      <c r="P8" s="5"/>
      <c r="Q8" s="5"/>
      <c r="R8" s="5"/>
    </row>
    <row r="9" spans="1:18" ht="30" customHeight="1" x14ac:dyDescent="0.25">
      <c r="A9" s="45" t="s">
        <v>225</v>
      </c>
      <c r="B9" s="132">
        <f>Kassaflödeskalkyl1å!N42</f>
        <v>0</v>
      </c>
      <c r="C9" s="132">
        <f>B42</f>
        <v>0</v>
      </c>
      <c r="D9" s="132">
        <f t="shared" ref="D9:M9" si="0">C42</f>
        <v>0</v>
      </c>
      <c r="E9" s="132">
        <f t="shared" si="0"/>
        <v>0</v>
      </c>
      <c r="F9" s="132">
        <f t="shared" si="0"/>
        <v>0</v>
      </c>
      <c r="G9" s="132">
        <f t="shared" si="0"/>
        <v>0</v>
      </c>
      <c r="H9" s="132">
        <f t="shared" si="0"/>
        <v>0</v>
      </c>
      <c r="I9" s="132">
        <f t="shared" si="0"/>
        <v>0</v>
      </c>
      <c r="J9" s="132">
        <f t="shared" si="0"/>
        <v>0</v>
      </c>
      <c r="K9" s="132">
        <f t="shared" si="0"/>
        <v>0</v>
      </c>
      <c r="L9" s="132">
        <f t="shared" si="0"/>
        <v>0</v>
      </c>
      <c r="M9" s="132">
        <f t="shared" si="0"/>
        <v>0</v>
      </c>
      <c r="N9" s="132"/>
      <c r="O9" s="56" t="s">
        <v>267</v>
      </c>
      <c r="P9" s="5"/>
      <c r="Q9" s="5"/>
      <c r="R9" s="5"/>
    </row>
    <row r="10" spans="1:18" ht="30" customHeight="1" x14ac:dyDescent="0.25">
      <c r="A10" s="17" t="s">
        <v>226</v>
      </c>
      <c r="B10" s="26" t="s">
        <v>7</v>
      </c>
      <c r="C10" s="26" t="s">
        <v>8</v>
      </c>
      <c r="D10" s="26" t="s">
        <v>9</v>
      </c>
      <c r="E10" s="26" t="s">
        <v>10</v>
      </c>
      <c r="F10" s="26" t="s">
        <v>11</v>
      </c>
      <c r="G10" s="26" t="s">
        <v>12</v>
      </c>
      <c r="H10" s="26" t="s">
        <v>13</v>
      </c>
      <c r="I10" s="26" t="s">
        <v>14</v>
      </c>
      <c r="J10" s="26" t="s">
        <v>15</v>
      </c>
      <c r="K10" s="26" t="s">
        <v>16</v>
      </c>
      <c r="L10" s="26" t="s">
        <v>17</v>
      </c>
      <c r="M10" s="26" t="s">
        <v>18</v>
      </c>
      <c r="N10" s="27" t="s">
        <v>121</v>
      </c>
      <c r="O10" s="56" t="s">
        <v>267</v>
      </c>
      <c r="P10" s="5"/>
      <c r="Q10" s="5"/>
      <c r="R10" s="5"/>
    </row>
    <row r="11" spans="1:18" ht="20.100000000000001" customHeight="1" x14ac:dyDescent="0.25">
      <c r="A11" s="46" t="s">
        <v>227</v>
      </c>
      <c r="B11" s="134"/>
      <c r="C11" s="134"/>
      <c r="D11" s="134"/>
      <c r="E11" s="134"/>
      <c r="F11" s="134"/>
      <c r="G11" s="134"/>
      <c r="H11" s="134"/>
      <c r="I11" s="134"/>
      <c r="J11" s="134"/>
      <c r="K11" s="134"/>
      <c r="L11" s="134"/>
      <c r="M11" s="135"/>
      <c r="N11" s="136">
        <f>SUM(Betalning_till_kassa_tabell_2[[#This Row],[Period 1]:[Period 12]])</f>
        <v>0</v>
      </c>
      <c r="O11" s="56" t="s">
        <v>267</v>
      </c>
      <c r="P11" s="5"/>
      <c r="Q11" s="5"/>
      <c r="R11" s="5"/>
    </row>
    <row r="12" spans="1:18" ht="20.100000000000001" customHeight="1" x14ac:dyDescent="0.25">
      <c r="A12" s="47" t="s">
        <v>228</v>
      </c>
      <c r="B12" s="138"/>
      <c r="C12" s="138"/>
      <c r="D12" s="138"/>
      <c r="E12" s="138"/>
      <c r="F12" s="138"/>
      <c r="G12" s="138"/>
      <c r="H12" s="138"/>
      <c r="I12" s="138"/>
      <c r="J12" s="138"/>
      <c r="K12" s="138"/>
      <c r="L12" s="138"/>
      <c r="M12" s="139"/>
      <c r="N12" s="140">
        <f>SUM(Betalning_till_kassa_tabell_2[[#This Row],[Period 1]:[Period 12]])</f>
        <v>0</v>
      </c>
      <c r="O12" s="56" t="s">
        <v>267</v>
      </c>
      <c r="P12" s="5"/>
      <c r="Q12" s="5"/>
      <c r="R12" s="5"/>
    </row>
    <row r="13" spans="1:18" ht="20.100000000000001" customHeight="1" thickBot="1" x14ac:dyDescent="0.3">
      <c r="A13" s="48" t="s">
        <v>229</v>
      </c>
      <c r="B13" s="142"/>
      <c r="C13" s="142"/>
      <c r="D13" s="142"/>
      <c r="E13" s="142"/>
      <c r="F13" s="142"/>
      <c r="G13" s="142"/>
      <c r="H13" s="142"/>
      <c r="I13" s="142"/>
      <c r="J13" s="142"/>
      <c r="K13" s="142"/>
      <c r="L13" s="142"/>
      <c r="M13" s="143"/>
      <c r="N13" s="144">
        <f>SUM(Betalning_till_kassa_tabell_2[[#This Row],[Period 1]:[Period 12]])</f>
        <v>0</v>
      </c>
      <c r="O13" s="56" t="s">
        <v>267</v>
      </c>
      <c r="P13" s="5"/>
      <c r="Q13" s="5"/>
      <c r="R13" s="5"/>
    </row>
    <row r="14" spans="1:18" ht="30" customHeight="1" x14ac:dyDescent="0.25">
      <c r="A14" s="80" t="s">
        <v>121</v>
      </c>
      <c r="B14" s="145">
        <f t="shared" ref="B14:M14" si="1">SUM(B11:B13)</f>
        <v>0</v>
      </c>
      <c r="C14" s="145">
        <f t="shared" si="1"/>
        <v>0</v>
      </c>
      <c r="D14" s="145">
        <f t="shared" si="1"/>
        <v>0</v>
      </c>
      <c r="E14" s="145">
        <f t="shared" si="1"/>
        <v>0</v>
      </c>
      <c r="F14" s="145">
        <f t="shared" si="1"/>
        <v>0</v>
      </c>
      <c r="G14" s="145">
        <f t="shared" si="1"/>
        <v>0</v>
      </c>
      <c r="H14" s="145">
        <f t="shared" si="1"/>
        <v>0</v>
      </c>
      <c r="I14" s="145">
        <f t="shared" si="1"/>
        <v>0</v>
      </c>
      <c r="J14" s="145">
        <f t="shared" si="1"/>
        <v>0</v>
      </c>
      <c r="K14" s="145">
        <f t="shared" si="1"/>
        <v>0</v>
      </c>
      <c r="L14" s="145">
        <f t="shared" si="1"/>
        <v>0</v>
      </c>
      <c r="M14" s="145">
        <f t="shared" si="1"/>
        <v>0</v>
      </c>
      <c r="N14" s="146">
        <f>SUM(Betalning_till_kassa_tabell_2[[#This Row],[Period 1]:[Period 12]])</f>
        <v>0</v>
      </c>
      <c r="O14" s="56" t="s">
        <v>267</v>
      </c>
      <c r="P14" s="5"/>
      <c r="Q14" s="5"/>
      <c r="R14" s="5"/>
    </row>
    <row r="15" spans="1:18" ht="30" customHeight="1" x14ac:dyDescent="0.25">
      <c r="A15" s="82" t="s">
        <v>230</v>
      </c>
      <c r="B15" s="147">
        <f>B14*(1+(Mervärdesskatteprocent/100))</f>
        <v>0</v>
      </c>
      <c r="C15" s="147">
        <f t="shared" ref="C15:M15" si="2">C14*(1+(Mervärdesskatteprocent/100))</f>
        <v>0</v>
      </c>
      <c r="D15" s="147">
        <f t="shared" si="2"/>
        <v>0</v>
      </c>
      <c r="E15" s="147">
        <f t="shared" si="2"/>
        <v>0</v>
      </c>
      <c r="F15" s="147">
        <f t="shared" si="2"/>
        <v>0</v>
      </c>
      <c r="G15" s="147">
        <f t="shared" si="2"/>
        <v>0</v>
      </c>
      <c r="H15" s="147">
        <f t="shared" si="2"/>
        <v>0</v>
      </c>
      <c r="I15" s="147">
        <f t="shared" si="2"/>
        <v>0</v>
      </c>
      <c r="J15" s="147">
        <f t="shared" si="2"/>
        <v>0</v>
      </c>
      <c r="K15" s="147">
        <f t="shared" si="2"/>
        <v>0</v>
      </c>
      <c r="L15" s="147">
        <f t="shared" si="2"/>
        <v>0</v>
      </c>
      <c r="M15" s="147">
        <f t="shared" si="2"/>
        <v>0</v>
      </c>
      <c r="N15" s="147">
        <f>SUM(Betalning_till_kassa_tabell_2[[#This Row],[Period 1]:[Period 12]])</f>
        <v>0</v>
      </c>
      <c r="O15" s="56" t="s">
        <v>267</v>
      </c>
      <c r="P15" s="5"/>
      <c r="Q15" s="5"/>
      <c r="R15" s="5"/>
    </row>
    <row r="16" spans="1:18" ht="30" customHeight="1" x14ac:dyDescent="0.25">
      <c r="A16" s="49" t="s">
        <v>231</v>
      </c>
      <c r="B16" s="26" t="s">
        <v>7</v>
      </c>
      <c r="C16" s="26" t="s">
        <v>8</v>
      </c>
      <c r="D16" s="26" t="s">
        <v>9</v>
      </c>
      <c r="E16" s="26" t="s">
        <v>10</v>
      </c>
      <c r="F16" s="26" t="s">
        <v>11</v>
      </c>
      <c r="G16" s="26" t="s">
        <v>12</v>
      </c>
      <c r="H16" s="26" t="s">
        <v>13</v>
      </c>
      <c r="I16" s="26" t="s">
        <v>14</v>
      </c>
      <c r="J16" s="26" t="s">
        <v>15</v>
      </c>
      <c r="K16" s="26" t="s">
        <v>16</v>
      </c>
      <c r="L16" s="26" t="s">
        <v>17</v>
      </c>
      <c r="M16" s="26" t="s">
        <v>18</v>
      </c>
      <c r="N16" s="27" t="s">
        <v>121</v>
      </c>
      <c r="O16" s="56" t="s">
        <v>267</v>
      </c>
      <c r="P16" s="5"/>
      <c r="Q16" s="5"/>
      <c r="R16" s="5"/>
    </row>
    <row r="17" spans="1:388" ht="30" customHeight="1" x14ac:dyDescent="0.25">
      <c r="A17" s="45" t="s">
        <v>232</v>
      </c>
      <c r="B17" s="132">
        <f>SUM(Startkassa_tabell_2[Period 1],B15)</f>
        <v>0</v>
      </c>
      <c r="C17" s="132">
        <f>SUM(Startkassa_tabell_2[Period 2],C15)</f>
        <v>0</v>
      </c>
      <c r="D17" s="132">
        <f>SUM(Startkassa_tabell_2[Period 3],D15)</f>
        <v>0</v>
      </c>
      <c r="E17" s="132">
        <f>SUM(Startkassa_tabell_2[Period 4],E15)</f>
        <v>0</v>
      </c>
      <c r="F17" s="132">
        <f>SUM(Startkassa_tabell_2[Period 5],F15)</f>
        <v>0</v>
      </c>
      <c r="G17" s="132">
        <f>SUM(Startkassa_tabell_2[Period 6],G15)</f>
        <v>0</v>
      </c>
      <c r="H17" s="132">
        <f>SUM(Startkassa_tabell_2[Period 7],H15)</f>
        <v>0</v>
      </c>
      <c r="I17" s="132">
        <f>SUM(Startkassa_tabell_2[Period 8],I15)</f>
        <v>0</v>
      </c>
      <c r="J17" s="132">
        <f>SUM(Startkassa_tabell_2[Period 9],J15)</f>
        <v>0</v>
      </c>
      <c r="K17" s="132">
        <f>SUM(Startkassa_tabell_2[Period 10],K15)</f>
        <v>0</v>
      </c>
      <c r="L17" s="132">
        <f>SUM(Startkassa_tabell_2[Period 11],L15)</f>
        <v>0</v>
      </c>
      <c r="M17" s="132">
        <f>SUM(Startkassa_tabell_2[Period 12],M15)</f>
        <v>0</v>
      </c>
      <c r="N17" s="132"/>
      <c r="O17" s="56" t="s">
        <v>267</v>
      </c>
      <c r="P17" s="5"/>
      <c r="Q17" s="5"/>
      <c r="R17" s="5"/>
    </row>
    <row r="18" spans="1:388" ht="30" customHeight="1" x14ac:dyDescent="0.25">
      <c r="A18" s="49" t="s">
        <v>233</v>
      </c>
      <c r="B18" s="26" t="s">
        <v>7</v>
      </c>
      <c r="C18" s="26" t="s">
        <v>8</v>
      </c>
      <c r="D18" s="26" t="s">
        <v>9</v>
      </c>
      <c r="E18" s="26" t="s">
        <v>10</v>
      </c>
      <c r="F18" s="26" t="s">
        <v>11</v>
      </c>
      <c r="G18" s="26" t="s">
        <v>12</v>
      </c>
      <c r="H18" s="26" t="s">
        <v>13</v>
      </c>
      <c r="I18" s="26" t="s">
        <v>14</v>
      </c>
      <c r="J18" s="26" t="s">
        <v>15</v>
      </c>
      <c r="K18" s="26" t="s">
        <v>16</v>
      </c>
      <c r="L18" s="26" t="s">
        <v>17</v>
      </c>
      <c r="M18" s="26" t="s">
        <v>18</v>
      </c>
      <c r="N18" s="27" t="s">
        <v>121</v>
      </c>
      <c r="O18" s="56" t="s">
        <v>267</v>
      </c>
      <c r="P18" s="5"/>
      <c r="Q18" s="5"/>
      <c r="R18" s="5"/>
    </row>
    <row r="19" spans="1:388" ht="20.100000000000001" customHeight="1" thickBot="1" x14ac:dyDescent="0.3">
      <c r="A19" s="84" t="s">
        <v>234</v>
      </c>
      <c r="B19" s="162"/>
      <c r="C19" s="162"/>
      <c r="D19" s="162"/>
      <c r="E19" s="162"/>
      <c r="F19" s="162"/>
      <c r="G19" s="162"/>
      <c r="H19" s="162"/>
      <c r="I19" s="162"/>
      <c r="J19" s="162"/>
      <c r="K19" s="162"/>
      <c r="L19" s="162"/>
      <c r="M19" s="162"/>
      <c r="N19" s="104">
        <f>SUM(Betalning_ur_kassa_moms_tabell_2[[#This Row],[Period 1]:[Period 12]])</f>
        <v>0</v>
      </c>
      <c r="O19" s="56" t="s">
        <v>267</v>
      </c>
      <c r="P19" s="5"/>
      <c r="Q19" s="5"/>
      <c r="R19" s="5"/>
    </row>
    <row r="20" spans="1:388" ht="30" customHeight="1" x14ac:dyDescent="0.25">
      <c r="A20" s="81" t="s">
        <v>235</v>
      </c>
      <c r="B20" s="148">
        <f>B19*(1+(Mervärdesskatteprocent/100))</f>
        <v>0</v>
      </c>
      <c r="C20" s="148">
        <f t="shared" ref="C20:M20" si="3">C19*(1+(Mervärdesskatteprocent/100))</f>
        <v>0</v>
      </c>
      <c r="D20" s="148">
        <f t="shared" si="3"/>
        <v>0</v>
      </c>
      <c r="E20" s="148">
        <f t="shared" si="3"/>
        <v>0</v>
      </c>
      <c r="F20" s="148">
        <f t="shared" si="3"/>
        <v>0</v>
      </c>
      <c r="G20" s="148">
        <f t="shared" si="3"/>
        <v>0</v>
      </c>
      <c r="H20" s="148">
        <f t="shared" si="3"/>
        <v>0</v>
      </c>
      <c r="I20" s="148">
        <f t="shared" si="3"/>
        <v>0</v>
      </c>
      <c r="J20" s="148">
        <f t="shared" si="3"/>
        <v>0</v>
      </c>
      <c r="K20" s="148">
        <f t="shared" si="3"/>
        <v>0</v>
      </c>
      <c r="L20" s="148">
        <f t="shared" si="3"/>
        <v>0</v>
      </c>
      <c r="M20" s="148">
        <f t="shared" si="3"/>
        <v>0</v>
      </c>
      <c r="N20" s="148">
        <f>SUM(Betalning_ur_kassa_moms_tabell_2[[#This Row],[Period 1]:[Period 12]])</f>
        <v>0</v>
      </c>
      <c r="O20" s="56" t="s">
        <v>267</v>
      </c>
      <c r="P20" s="5"/>
      <c r="Q20" s="5"/>
      <c r="R20" s="5"/>
    </row>
    <row r="21" spans="1:388" ht="30" customHeight="1" x14ac:dyDescent="0.25">
      <c r="A21" s="82" t="s">
        <v>236</v>
      </c>
      <c r="B21" s="149">
        <f>(Kassaflödeskalkyl1å!M15-Kassaflödeskalkyl1å!M14)-(Kassaflödeskalkyl1å!M20-Kassaflödeskalkyl1å!M19)</f>
        <v>0</v>
      </c>
      <c r="C21" s="149">
        <f>(Kassaflödeskalkyl1å!N15-Kassaflödeskalkyl1å!N14)-(Kassaflödeskalkyl1å!N20-Kassaflödeskalkyl1å!N19)</f>
        <v>0</v>
      </c>
      <c r="D21" s="149">
        <f t="shared" ref="D21:M21" si="4">(B15-B14)-(B20-B19)</f>
        <v>0</v>
      </c>
      <c r="E21" s="149">
        <f t="shared" si="4"/>
        <v>0</v>
      </c>
      <c r="F21" s="149">
        <f t="shared" si="4"/>
        <v>0</v>
      </c>
      <c r="G21" s="149">
        <f t="shared" si="4"/>
        <v>0</v>
      </c>
      <c r="H21" s="149">
        <f t="shared" si="4"/>
        <v>0</v>
      </c>
      <c r="I21" s="149">
        <f t="shared" si="4"/>
        <v>0</v>
      </c>
      <c r="J21" s="149">
        <f t="shared" si="4"/>
        <v>0</v>
      </c>
      <c r="K21" s="149">
        <f t="shared" si="4"/>
        <v>0</v>
      </c>
      <c r="L21" s="149">
        <f t="shared" si="4"/>
        <v>0</v>
      </c>
      <c r="M21" s="149">
        <f t="shared" si="4"/>
        <v>0</v>
      </c>
      <c r="N21" s="149">
        <f>SUM(Betalning_ur_kassa_moms_tabell_2[[#This Row],[Period 1]:[Period 12]])</f>
        <v>0</v>
      </c>
      <c r="O21" s="56" t="s">
        <v>267</v>
      </c>
      <c r="P21" s="5"/>
      <c r="Q21" s="5"/>
      <c r="R21" s="5"/>
    </row>
    <row r="22" spans="1:388" ht="30" customHeight="1" x14ac:dyDescent="0.25">
      <c r="A22" s="17" t="s">
        <v>237</v>
      </c>
      <c r="B22" s="26" t="s">
        <v>7</v>
      </c>
      <c r="C22" s="26" t="s">
        <v>8</v>
      </c>
      <c r="D22" s="26" t="s">
        <v>9</v>
      </c>
      <c r="E22" s="26" t="s">
        <v>10</v>
      </c>
      <c r="F22" s="26" t="s">
        <v>11</v>
      </c>
      <c r="G22" s="26" t="s">
        <v>12</v>
      </c>
      <c r="H22" s="26" t="s">
        <v>13</v>
      </c>
      <c r="I22" s="26" t="s">
        <v>14</v>
      </c>
      <c r="J22" s="26" t="s">
        <v>15</v>
      </c>
      <c r="K22" s="26" t="s">
        <v>16</v>
      </c>
      <c r="L22" s="26" t="s">
        <v>17</v>
      </c>
      <c r="M22" s="26" t="s">
        <v>18</v>
      </c>
      <c r="N22" s="27" t="s">
        <v>121</v>
      </c>
      <c r="O22" s="56" t="s">
        <v>267</v>
      </c>
      <c r="P22" s="5"/>
      <c r="Q22" s="5"/>
      <c r="R22" s="5"/>
    </row>
    <row r="23" spans="1:388" ht="20.100000000000001" customHeight="1" x14ac:dyDescent="0.25">
      <c r="A23" s="18" t="s">
        <v>238</v>
      </c>
      <c r="B23" s="95"/>
      <c r="C23" s="95"/>
      <c r="D23" s="95"/>
      <c r="E23" s="95"/>
      <c r="F23" s="95"/>
      <c r="G23" s="95"/>
      <c r="H23" s="95"/>
      <c r="I23" s="95"/>
      <c r="J23" s="95"/>
      <c r="K23" s="95"/>
      <c r="L23" s="95"/>
      <c r="M23" s="95"/>
      <c r="N23" s="150">
        <f>SUM(Betalning_ur_kassa_tabell_2[[#This Row],[Period 1]:[Period 12]])</f>
        <v>0</v>
      </c>
      <c r="O23" s="56" t="s">
        <v>267</v>
      </c>
      <c r="P23" s="5"/>
      <c r="Q23" s="5"/>
      <c r="R23" s="5"/>
    </row>
    <row r="24" spans="1:388" ht="20.100000000000001" customHeight="1" x14ac:dyDescent="0.25">
      <c r="A24" s="18" t="s">
        <v>239</v>
      </c>
      <c r="B24" s="95"/>
      <c r="C24" s="95"/>
      <c r="D24" s="95"/>
      <c r="E24" s="95"/>
      <c r="F24" s="95"/>
      <c r="G24" s="95"/>
      <c r="H24" s="95"/>
      <c r="I24" s="95"/>
      <c r="J24" s="95"/>
      <c r="K24" s="95"/>
      <c r="L24" s="95"/>
      <c r="M24" s="95"/>
      <c r="N24" s="150">
        <f>SUM(Betalning_ur_kassa_tabell_2[[#This Row],[Period 1]:[Period 12]])</f>
        <v>0</v>
      </c>
      <c r="O24" s="56" t="s">
        <v>267</v>
      </c>
      <c r="P24" s="78"/>
      <c r="Q24" s="78"/>
      <c r="R24" s="78"/>
      <c r="S24" s="79"/>
      <c r="T24" s="79"/>
      <c r="U24" s="79"/>
      <c r="V24" s="79"/>
      <c r="W24" s="79"/>
      <c r="X24" s="79"/>
      <c r="Y24" s="79"/>
      <c r="Z24" s="79"/>
      <c r="AA24" s="79"/>
      <c r="AB24" s="79"/>
      <c r="AC24" s="79"/>
      <c r="AD24" s="79"/>
      <c r="AE24" s="79"/>
      <c r="AF24" s="79"/>
      <c r="AG24" s="79"/>
      <c r="AH24" s="79"/>
      <c r="AI24" s="79"/>
      <c r="AJ24" s="79"/>
      <c r="AK24" s="79"/>
      <c r="AL24" s="79"/>
      <c r="AM24" s="79"/>
      <c r="AN24" s="79"/>
      <c r="AO24" s="79"/>
      <c r="AP24" s="79"/>
      <c r="AQ24" s="79"/>
      <c r="AR24" s="79"/>
      <c r="AS24" s="79"/>
      <c r="AT24" s="79"/>
      <c r="AU24" s="79"/>
      <c r="AV24" s="79"/>
      <c r="AW24" s="79"/>
      <c r="AX24" s="79"/>
      <c r="AY24" s="79"/>
      <c r="AZ24" s="79"/>
      <c r="BA24" s="79"/>
      <c r="BB24" s="79"/>
      <c r="BC24" s="79"/>
      <c r="BD24" s="79"/>
      <c r="BE24" s="79"/>
      <c r="BF24" s="79"/>
      <c r="BG24" s="79"/>
      <c r="BH24" s="79"/>
      <c r="BI24" s="79"/>
      <c r="BJ24" s="79"/>
      <c r="BK24" s="79"/>
      <c r="BL24" s="79"/>
      <c r="BM24" s="79"/>
      <c r="BN24" s="79"/>
      <c r="BO24" s="79"/>
      <c r="BP24" s="79"/>
      <c r="BQ24" s="79"/>
      <c r="BR24" s="79"/>
      <c r="BS24" s="79"/>
      <c r="BT24" s="79"/>
      <c r="BU24" s="79"/>
      <c r="BV24" s="79"/>
      <c r="BW24" s="79"/>
      <c r="BX24" s="79"/>
      <c r="BY24" s="79"/>
      <c r="BZ24" s="79"/>
      <c r="CA24" s="79"/>
      <c r="CB24" s="79"/>
      <c r="CC24" s="79"/>
      <c r="CD24" s="79"/>
      <c r="CE24" s="79"/>
      <c r="CF24" s="79"/>
      <c r="CG24" s="79"/>
      <c r="CH24" s="79"/>
      <c r="CI24" s="79"/>
      <c r="CJ24" s="79"/>
      <c r="CK24" s="79"/>
      <c r="CL24" s="79"/>
      <c r="CM24" s="79"/>
      <c r="CN24" s="79"/>
      <c r="CO24" s="79"/>
      <c r="CP24" s="79"/>
      <c r="CQ24" s="79"/>
      <c r="CR24" s="79"/>
      <c r="CS24" s="79"/>
      <c r="CT24" s="79"/>
      <c r="CU24" s="79"/>
      <c r="CV24" s="79"/>
      <c r="CW24" s="79"/>
      <c r="CX24" s="79"/>
      <c r="CY24" s="79"/>
      <c r="CZ24" s="79"/>
      <c r="DA24" s="79"/>
      <c r="DB24" s="79"/>
      <c r="DC24" s="79"/>
      <c r="DD24" s="79"/>
      <c r="DE24" s="79"/>
      <c r="DF24" s="79"/>
      <c r="DG24" s="79"/>
      <c r="DH24" s="79"/>
      <c r="DI24" s="79"/>
      <c r="DJ24" s="79"/>
      <c r="DK24" s="79"/>
      <c r="DL24" s="79"/>
      <c r="DM24" s="79"/>
      <c r="DN24" s="79"/>
      <c r="DO24" s="79"/>
      <c r="DP24" s="79"/>
      <c r="DQ24" s="79"/>
      <c r="DR24" s="79"/>
      <c r="DS24" s="79"/>
      <c r="DT24" s="79"/>
      <c r="DU24" s="79"/>
      <c r="DV24" s="79"/>
      <c r="DW24" s="79"/>
      <c r="DX24" s="79"/>
      <c r="DY24" s="79"/>
      <c r="DZ24" s="79"/>
      <c r="EA24" s="79"/>
      <c r="EB24" s="79"/>
      <c r="EC24" s="79"/>
      <c r="ED24" s="79"/>
      <c r="EE24" s="79"/>
      <c r="EF24" s="79"/>
      <c r="EG24" s="79"/>
      <c r="EH24" s="79"/>
      <c r="EI24" s="79"/>
      <c r="EJ24" s="79"/>
      <c r="EK24" s="79"/>
      <c r="EL24" s="79"/>
      <c r="EM24" s="79"/>
      <c r="EN24" s="79"/>
      <c r="EO24" s="79"/>
      <c r="EP24" s="79"/>
      <c r="EQ24" s="79"/>
      <c r="ER24" s="79"/>
      <c r="ES24" s="79"/>
      <c r="ET24" s="79"/>
      <c r="EU24" s="79"/>
      <c r="EV24" s="79"/>
      <c r="EW24" s="79"/>
      <c r="EX24" s="79"/>
      <c r="EY24" s="79"/>
      <c r="EZ24" s="79"/>
      <c r="FA24" s="79"/>
      <c r="FB24" s="79"/>
      <c r="FC24" s="79"/>
      <c r="FD24" s="79"/>
      <c r="FE24" s="79"/>
      <c r="FF24" s="79"/>
      <c r="FG24" s="79"/>
      <c r="FH24" s="79"/>
      <c r="FI24" s="79"/>
      <c r="FJ24" s="79"/>
      <c r="FK24" s="79"/>
      <c r="FL24" s="79"/>
      <c r="FM24" s="79"/>
      <c r="FN24" s="79"/>
      <c r="FO24" s="79"/>
      <c r="FP24" s="79"/>
      <c r="FQ24" s="79"/>
      <c r="FR24" s="79"/>
      <c r="FS24" s="79"/>
      <c r="FT24" s="79"/>
      <c r="FU24" s="79"/>
      <c r="FV24" s="79"/>
      <c r="FW24" s="79"/>
      <c r="FX24" s="79"/>
      <c r="FY24" s="79"/>
      <c r="FZ24" s="79"/>
      <c r="GA24" s="79"/>
      <c r="GB24" s="79"/>
      <c r="GC24" s="79"/>
      <c r="GD24" s="79"/>
      <c r="GE24" s="79"/>
      <c r="GF24" s="79"/>
      <c r="GG24" s="79"/>
      <c r="GH24" s="79"/>
      <c r="GI24" s="79"/>
      <c r="GJ24" s="79"/>
      <c r="GK24" s="79"/>
      <c r="GL24" s="79"/>
      <c r="GM24" s="79"/>
      <c r="GN24" s="79"/>
      <c r="GO24" s="79"/>
      <c r="GP24" s="79"/>
      <c r="GQ24" s="79"/>
      <c r="GR24" s="79"/>
      <c r="GS24" s="79"/>
      <c r="GT24" s="79"/>
      <c r="GU24" s="79"/>
      <c r="GV24" s="79"/>
      <c r="GW24" s="79"/>
      <c r="GX24" s="79"/>
      <c r="GY24" s="79"/>
      <c r="GZ24" s="79"/>
      <c r="HA24" s="79"/>
      <c r="HB24" s="79"/>
      <c r="HC24" s="79"/>
      <c r="HD24" s="79"/>
      <c r="HE24" s="79"/>
      <c r="HF24" s="79"/>
      <c r="HG24" s="79"/>
      <c r="HH24" s="79"/>
      <c r="HI24" s="79"/>
      <c r="HJ24" s="79"/>
      <c r="HK24" s="79"/>
      <c r="HL24" s="79"/>
      <c r="HM24" s="79"/>
      <c r="HN24" s="79"/>
      <c r="HO24" s="79"/>
      <c r="HP24" s="79"/>
      <c r="HQ24" s="79"/>
      <c r="HR24" s="79"/>
      <c r="HS24" s="79"/>
      <c r="HT24" s="79"/>
      <c r="HU24" s="79"/>
      <c r="HV24" s="79"/>
      <c r="HW24" s="79"/>
      <c r="HX24" s="79"/>
      <c r="HY24" s="79"/>
      <c r="HZ24" s="79"/>
      <c r="IA24" s="79"/>
      <c r="IB24" s="79"/>
      <c r="IC24" s="79"/>
      <c r="ID24" s="79"/>
      <c r="IE24" s="79"/>
      <c r="IF24" s="79"/>
      <c r="IG24" s="79"/>
      <c r="IH24" s="79"/>
      <c r="II24" s="79"/>
      <c r="IJ24" s="79"/>
      <c r="IK24" s="79"/>
      <c r="IL24" s="79"/>
      <c r="IM24" s="79"/>
      <c r="IN24" s="79"/>
      <c r="IO24" s="79"/>
      <c r="IP24" s="79"/>
      <c r="IQ24" s="79"/>
      <c r="IR24" s="79"/>
      <c r="IS24" s="79"/>
      <c r="IT24" s="79"/>
      <c r="IU24" s="79"/>
      <c r="IV24" s="79"/>
      <c r="IW24" s="79"/>
      <c r="IX24" s="79"/>
      <c r="IY24" s="79"/>
      <c r="IZ24" s="79"/>
      <c r="JA24" s="79"/>
      <c r="JB24" s="79"/>
      <c r="JC24" s="79"/>
      <c r="JD24" s="79"/>
      <c r="JE24" s="79"/>
      <c r="JF24" s="79"/>
      <c r="JG24" s="79"/>
      <c r="JH24" s="79"/>
      <c r="JI24" s="79"/>
      <c r="JJ24" s="79"/>
      <c r="JK24" s="79"/>
      <c r="JL24" s="79"/>
      <c r="JM24" s="79"/>
      <c r="JN24" s="79"/>
      <c r="JO24" s="79"/>
      <c r="JP24" s="79"/>
      <c r="JQ24" s="79"/>
      <c r="JR24" s="79"/>
      <c r="JS24" s="79"/>
      <c r="JT24" s="79"/>
      <c r="JU24" s="79"/>
      <c r="JV24" s="79"/>
      <c r="JW24" s="79"/>
      <c r="JX24" s="79"/>
      <c r="JY24" s="79"/>
      <c r="JZ24" s="79"/>
      <c r="KA24" s="79"/>
      <c r="KB24" s="79"/>
      <c r="KC24" s="79"/>
      <c r="KD24" s="79"/>
      <c r="KE24" s="79"/>
      <c r="KF24" s="79"/>
      <c r="KG24" s="79"/>
      <c r="KH24" s="79"/>
      <c r="KI24" s="79"/>
      <c r="KJ24" s="79"/>
      <c r="KK24" s="79"/>
      <c r="KL24" s="79"/>
      <c r="KM24" s="79"/>
      <c r="KN24" s="79"/>
      <c r="KO24" s="79"/>
      <c r="KP24" s="79"/>
      <c r="KQ24" s="79"/>
      <c r="KR24" s="79"/>
      <c r="KS24" s="79"/>
      <c r="KT24" s="79"/>
      <c r="KU24" s="79"/>
      <c r="KV24" s="79"/>
      <c r="KW24" s="79"/>
      <c r="KX24" s="79"/>
      <c r="KY24" s="79"/>
      <c r="KZ24" s="79"/>
      <c r="LA24" s="79"/>
      <c r="LB24" s="79"/>
      <c r="LC24" s="79"/>
      <c r="LD24" s="79"/>
      <c r="LE24" s="79"/>
      <c r="LF24" s="79"/>
      <c r="LG24" s="79"/>
      <c r="LH24" s="79"/>
      <c r="LI24" s="79"/>
      <c r="LJ24" s="79"/>
      <c r="LK24" s="79"/>
      <c r="LL24" s="79"/>
      <c r="LM24" s="79"/>
      <c r="LN24" s="79"/>
      <c r="LO24" s="79"/>
      <c r="LP24" s="79"/>
      <c r="LQ24" s="79"/>
      <c r="LR24" s="79"/>
      <c r="LS24" s="79"/>
      <c r="LT24" s="79"/>
      <c r="LU24" s="79"/>
      <c r="LV24" s="79"/>
      <c r="LW24" s="79"/>
      <c r="LX24" s="79"/>
      <c r="LY24" s="79"/>
      <c r="LZ24" s="79"/>
      <c r="MA24" s="79"/>
      <c r="MB24" s="79"/>
      <c r="MC24" s="79"/>
      <c r="MD24" s="79"/>
      <c r="ME24" s="79"/>
      <c r="MF24" s="79"/>
      <c r="MG24" s="79"/>
      <c r="MH24" s="79"/>
      <c r="MI24" s="79"/>
      <c r="MJ24" s="79"/>
      <c r="MK24" s="79"/>
      <c r="ML24" s="79"/>
      <c r="MM24" s="79"/>
      <c r="MN24" s="79"/>
      <c r="MO24" s="79"/>
      <c r="MP24" s="79"/>
      <c r="MQ24" s="79"/>
      <c r="MR24" s="79"/>
      <c r="MS24" s="79"/>
      <c r="MT24" s="79"/>
      <c r="MU24" s="79"/>
      <c r="MV24" s="79"/>
      <c r="MW24" s="79"/>
      <c r="MX24" s="79"/>
      <c r="MY24" s="79"/>
      <c r="MZ24" s="79"/>
      <c r="NA24" s="79"/>
      <c r="NB24" s="79"/>
      <c r="NC24" s="79"/>
      <c r="ND24" s="79"/>
      <c r="NE24" s="79"/>
      <c r="NF24" s="79"/>
      <c r="NG24" s="79"/>
      <c r="NH24" s="79"/>
      <c r="NI24" s="79"/>
      <c r="NJ24" s="79"/>
      <c r="NK24" s="79"/>
      <c r="NL24" s="79"/>
      <c r="NM24" s="79"/>
      <c r="NN24" s="79"/>
      <c r="NO24" s="79"/>
      <c r="NP24" s="79"/>
      <c r="NQ24" s="79"/>
      <c r="NR24" s="79"/>
      <c r="NS24" s="79"/>
      <c r="NT24" s="79"/>
      <c r="NU24" s="79"/>
      <c r="NV24" s="79"/>
      <c r="NW24" s="79"/>
      <c r="NX24" s="79"/>
    </row>
    <row r="25" spans="1:388" ht="20.100000000000001" customHeight="1" x14ac:dyDescent="0.25">
      <c r="A25" s="40" t="s">
        <v>240</v>
      </c>
      <c r="B25" s="151"/>
      <c r="C25" s="151"/>
      <c r="D25" s="151"/>
      <c r="E25" s="151"/>
      <c r="F25" s="151"/>
      <c r="G25" s="151"/>
      <c r="H25" s="151"/>
      <c r="I25" s="151"/>
      <c r="J25" s="151"/>
      <c r="K25" s="151"/>
      <c r="L25" s="151"/>
      <c r="M25" s="151"/>
      <c r="N25" s="152">
        <f>SUM(Betalning_ur_kassa_tabell_2[[#This Row],[Period 1]:[Period 12]])</f>
        <v>0</v>
      </c>
      <c r="O25" s="56" t="s">
        <v>267</v>
      </c>
      <c r="P25" s="78"/>
      <c r="Q25" s="78"/>
      <c r="R25" s="78"/>
      <c r="S25" s="79"/>
      <c r="T25" s="79"/>
      <c r="U25" s="79"/>
      <c r="V25" s="79"/>
      <c r="W25" s="79"/>
      <c r="X25" s="79"/>
      <c r="Y25" s="79"/>
      <c r="Z25" s="79"/>
      <c r="AA25" s="79"/>
      <c r="AB25" s="79"/>
      <c r="AC25" s="79"/>
      <c r="AD25" s="79"/>
      <c r="AE25" s="79"/>
      <c r="AF25" s="79"/>
      <c r="AG25" s="79"/>
      <c r="AH25" s="79"/>
      <c r="AI25" s="79"/>
      <c r="AJ25" s="79"/>
      <c r="AK25" s="79"/>
      <c r="AL25" s="79"/>
      <c r="AM25" s="79"/>
      <c r="AN25" s="79"/>
      <c r="AO25" s="79"/>
      <c r="AP25" s="79"/>
      <c r="AQ25" s="79"/>
      <c r="AR25" s="79"/>
      <c r="AS25" s="79"/>
      <c r="AT25" s="79"/>
      <c r="AU25" s="79"/>
      <c r="AV25" s="79"/>
      <c r="AW25" s="79"/>
      <c r="AX25" s="79"/>
      <c r="AY25" s="79"/>
      <c r="AZ25" s="79"/>
      <c r="BA25" s="79"/>
      <c r="BB25" s="79"/>
      <c r="BC25" s="79"/>
      <c r="BD25" s="79"/>
      <c r="BE25" s="79"/>
      <c r="BF25" s="79"/>
      <c r="BG25" s="79"/>
      <c r="BH25" s="79"/>
      <c r="BI25" s="79"/>
      <c r="BJ25" s="79"/>
      <c r="BK25" s="79"/>
      <c r="BL25" s="79"/>
      <c r="BM25" s="79"/>
      <c r="BN25" s="79"/>
      <c r="BO25" s="79"/>
      <c r="BP25" s="79"/>
      <c r="BQ25" s="79"/>
      <c r="BR25" s="79"/>
      <c r="BS25" s="79"/>
      <c r="BT25" s="79"/>
      <c r="BU25" s="79"/>
      <c r="BV25" s="79"/>
      <c r="BW25" s="79"/>
      <c r="BX25" s="79"/>
      <c r="BY25" s="79"/>
      <c r="BZ25" s="79"/>
      <c r="CA25" s="79"/>
      <c r="CB25" s="79"/>
      <c r="CC25" s="79"/>
      <c r="CD25" s="79"/>
      <c r="CE25" s="79"/>
      <c r="CF25" s="79"/>
      <c r="CG25" s="79"/>
      <c r="CH25" s="79"/>
      <c r="CI25" s="79"/>
      <c r="CJ25" s="79"/>
      <c r="CK25" s="79"/>
      <c r="CL25" s="79"/>
      <c r="CM25" s="79"/>
      <c r="CN25" s="79"/>
      <c r="CO25" s="79"/>
      <c r="CP25" s="79"/>
      <c r="CQ25" s="79"/>
      <c r="CR25" s="79"/>
      <c r="CS25" s="79"/>
      <c r="CT25" s="79"/>
      <c r="CU25" s="79"/>
      <c r="CV25" s="79"/>
      <c r="CW25" s="79"/>
      <c r="CX25" s="79"/>
      <c r="CY25" s="79"/>
      <c r="CZ25" s="79"/>
      <c r="DA25" s="79"/>
      <c r="DB25" s="79"/>
      <c r="DC25" s="79"/>
      <c r="DD25" s="79"/>
      <c r="DE25" s="79"/>
      <c r="DF25" s="79"/>
      <c r="DG25" s="79"/>
      <c r="DH25" s="79"/>
      <c r="DI25" s="79"/>
      <c r="DJ25" s="79"/>
      <c r="DK25" s="79"/>
      <c r="DL25" s="79"/>
      <c r="DM25" s="79"/>
      <c r="DN25" s="79"/>
      <c r="DO25" s="79"/>
      <c r="DP25" s="79"/>
      <c r="DQ25" s="79"/>
      <c r="DR25" s="79"/>
      <c r="DS25" s="79"/>
      <c r="DT25" s="79"/>
      <c r="DU25" s="79"/>
      <c r="DV25" s="79"/>
      <c r="DW25" s="79"/>
      <c r="DX25" s="79"/>
      <c r="DY25" s="79"/>
      <c r="DZ25" s="79"/>
      <c r="EA25" s="79"/>
      <c r="EB25" s="79"/>
      <c r="EC25" s="79"/>
      <c r="ED25" s="79"/>
      <c r="EE25" s="79"/>
      <c r="EF25" s="79"/>
      <c r="EG25" s="79"/>
      <c r="EH25" s="79"/>
      <c r="EI25" s="79"/>
      <c r="EJ25" s="79"/>
      <c r="EK25" s="79"/>
      <c r="EL25" s="79"/>
      <c r="EM25" s="79"/>
      <c r="EN25" s="79"/>
      <c r="EO25" s="79"/>
      <c r="EP25" s="79"/>
      <c r="EQ25" s="79"/>
      <c r="ER25" s="79"/>
      <c r="ES25" s="79"/>
      <c r="ET25" s="79"/>
      <c r="EU25" s="79"/>
      <c r="EV25" s="79"/>
      <c r="EW25" s="79"/>
      <c r="EX25" s="79"/>
      <c r="EY25" s="79"/>
      <c r="EZ25" s="79"/>
      <c r="FA25" s="79"/>
      <c r="FB25" s="79"/>
      <c r="FC25" s="79"/>
      <c r="FD25" s="79"/>
      <c r="FE25" s="79"/>
      <c r="FF25" s="79"/>
      <c r="FG25" s="79"/>
      <c r="FH25" s="79"/>
      <c r="FI25" s="79"/>
      <c r="FJ25" s="79"/>
      <c r="FK25" s="79"/>
      <c r="FL25" s="79"/>
      <c r="FM25" s="79"/>
      <c r="FN25" s="79"/>
      <c r="FO25" s="79"/>
      <c r="FP25" s="79"/>
      <c r="FQ25" s="79"/>
      <c r="FR25" s="79"/>
      <c r="FS25" s="79"/>
      <c r="FT25" s="79"/>
      <c r="FU25" s="79"/>
      <c r="FV25" s="79"/>
      <c r="FW25" s="79"/>
      <c r="FX25" s="79"/>
      <c r="FY25" s="79"/>
      <c r="FZ25" s="79"/>
      <c r="GA25" s="79"/>
      <c r="GB25" s="79"/>
      <c r="GC25" s="79"/>
      <c r="GD25" s="79"/>
      <c r="GE25" s="79"/>
      <c r="GF25" s="79"/>
      <c r="GG25" s="79"/>
      <c r="GH25" s="79"/>
      <c r="GI25" s="79"/>
      <c r="GJ25" s="79"/>
      <c r="GK25" s="79"/>
      <c r="GL25" s="79"/>
      <c r="GM25" s="79"/>
      <c r="GN25" s="79"/>
      <c r="GO25" s="79"/>
      <c r="GP25" s="79"/>
      <c r="GQ25" s="79"/>
      <c r="GR25" s="79"/>
      <c r="GS25" s="79"/>
      <c r="GT25" s="79"/>
      <c r="GU25" s="79"/>
      <c r="GV25" s="79"/>
      <c r="GW25" s="79"/>
      <c r="GX25" s="79"/>
      <c r="GY25" s="79"/>
      <c r="GZ25" s="79"/>
      <c r="HA25" s="79"/>
      <c r="HB25" s="79"/>
      <c r="HC25" s="79"/>
      <c r="HD25" s="79"/>
      <c r="HE25" s="79"/>
      <c r="HF25" s="79"/>
      <c r="HG25" s="79"/>
      <c r="HH25" s="79"/>
      <c r="HI25" s="79"/>
      <c r="HJ25" s="79"/>
      <c r="HK25" s="79"/>
      <c r="HL25" s="79"/>
      <c r="HM25" s="79"/>
      <c r="HN25" s="79"/>
      <c r="HO25" s="79"/>
      <c r="HP25" s="79"/>
      <c r="HQ25" s="79"/>
      <c r="HR25" s="79"/>
      <c r="HS25" s="79"/>
      <c r="HT25" s="79"/>
      <c r="HU25" s="79"/>
      <c r="HV25" s="79"/>
      <c r="HW25" s="79"/>
      <c r="HX25" s="79"/>
      <c r="HY25" s="79"/>
      <c r="HZ25" s="79"/>
      <c r="IA25" s="79"/>
      <c r="IB25" s="79"/>
      <c r="IC25" s="79"/>
      <c r="ID25" s="79"/>
      <c r="IE25" s="79"/>
      <c r="IF25" s="79"/>
      <c r="IG25" s="79"/>
      <c r="IH25" s="79"/>
      <c r="II25" s="79"/>
      <c r="IJ25" s="79"/>
      <c r="IK25" s="79"/>
      <c r="IL25" s="79"/>
      <c r="IM25" s="79"/>
      <c r="IN25" s="79"/>
      <c r="IO25" s="79"/>
      <c r="IP25" s="79"/>
      <c r="IQ25" s="79"/>
      <c r="IR25" s="79"/>
      <c r="IS25" s="79"/>
      <c r="IT25" s="79"/>
      <c r="IU25" s="79"/>
      <c r="IV25" s="79"/>
      <c r="IW25" s="79"/>
      <c r="IX25" s="79"/>
      <c r="IY25" s="79"/>
      <c r="IZ25" s="79"/>
      <c r="JA25" s="79"/>
      <c r="JB25" s="79"/>
      <c r="JC25" s="79"/>
      <c r="JD25" s="79"/>
      <c r="JE25" s="79"/>
      <c r="JF25" s="79"/>
      <c r="JG25" s="79"/>
      <c r="JH25" s="79"/>
      <c r="JI25" s="79"/>
      <c r="JJ25" s="79"/>
      <c r="JK25" s="79"/>
      <c r="JL25" s="79"/>
      <c r="JM25" s="79"/>
      <c r="JN25" s="79"/>
      <c r="JO25" s="79"/>
      <c r="JP25" s="79"/>
      <c r="JQ25" s="79"/>
      <c r="JR25" s="79"/>
      <c r="JS25" s="79"/>
      <c r="JT25" s="79"/>
      <c r="JU25" s="79"/>
      <c r="JV25" s="79"/>
      <c r="JW25" s="79"/>
      <c r="JX25" s="79"/>
      <c r="JY25" s="79"/>
      <c r="JZ25" s="79"/>
      <c r="KA25" s="79"/>
      <c r="KB25" s="79"/>
      <c r="KC25" s="79"/>
      <c r="KD25" s="79"/>
      <c r="KE25" s="79"/>
      <c r="KF25" s="79"/>
      <c r="KG25" s="79"/>
      <c r="KH25" s="79"/>
      <c r="KI25" s="79"/>
      <c r="KJ25" s="79"/>
      <c r="KK25" s="79"/>
      <c r="KL25" s="79"/>
      <c r="KM25" s="79"/>
      <c r="KN25" s="79"/>
      <c r="KO25" s="79"/>
      <c r="KP25" s="79"/>
      <c r="KQ25" s="79"/>
      <c r="KR25" s="79"/>
      <c r="KS25" s="79"/>
      <c r="KT25" s="79"/>
      <c r="KU25" s="79"/>
      <c r="KV25" s="79"/>
      <c r="KW25" s="79"/>
      <c r="KX25" s="79"/>
      <c r="KY25" s="79"/>
      <c r="KZ25" s="79"/>
      <c r="LA25" s="79"/>
      <c r="LB25" s="79"/>
      <c r="LC25" s="79"/>
      <c r="LD25" s="79"/>
      <c r="LE25" s="79"/>
      <c r="LF25" s="79"/>
      <c r="LG25" s="79"/>
      <c r="LH25" s="79"/>
      <c r="LI25" s="79"/>
      <c r="LJ25" s="79"/>
      <c r="LK25" s="79"/>
      <c r="LL25" s="79"/>
      <c r="LM25" s="79"/>
      <c r="LN25" s="79"/>
      <c r="LO25" s="79"/>
      <c r="LP25" s="79"/>
      <c r="LQ25" s="79"/>
      <c r="LR25" s="79"/>
      <c r="LS25" s="79"/>
      <c r="LT25" s="79"/>
      <c r="LU25" s="79"/>
      <c r="LV25" s="79"/>
      <c r="LW25" s="79"/>
      <c r="LX25" s="79"/>
      <c r="LY25" s="79"/>
      <c r="LZ25" s="79"/>
      <c r="MA25" s="79"/>
      <c r="MB25" s="79"/>
      <c r="MC25" s="79"/>
      <c r="MD25" s="79"/>
      <c r="ME25" s="79"/>
      <c r="MF25" s="79"/>
      <c r="MG25" s="79"/>
      <c r="MH25" s="79"/>
      <c r="MI25" s="79"/>
      <c r="MJ25" s="79"/>
      <c r="MK25" s="79"/>
      <c r="ML25" s="79"/>
      <c r="MM25" s="79"/>
      <c r="MN25" s="79"/>
      <c r="MO25" s="79"/>
      <c r="MP25" s="79"/>
      <c r="MQ25" s="79"/>
      <c r="MR25" s="79"/>
      <c r="MS25" s="79"/>
      <c r="MT25" s="79"/>
      <c r="MU25" s="79"/>
      <c r="MV25" s="79"/>
      <c r="MW25" s="79"/>
      <c r="MX25" s="79"/>
      <c r="MY25" s="79"/>
      <c r="MZ25" s="79"/>
      <c r="NA25" s="79"/>
      <c r="NB25" s="79"/>
      <c r="NC25" s="79"/>
      <c r="ND25" s="79"/>
      <c r="NE25" s="79"/>
      <c r="NF25" s="79"/>
      <c r="NG25" s="79"/>
      <c r="NH25" s="79"/>
      <c r="NI25" s="79"/>
      <c r="NJ25" s="79"/>
      <c r="NK25" s="79"/>
      <c r="NL25" s="79"/>
      <c r="NM25" s="79"/>
      <c r="NN25" s="79"/>
      <c r="NO25" s="79"/>
      <c r="NP25" s="79"/>
      <c r="NQ25" s="79"/>
      <c r="NR25" s="79"/>
      <c r="NS25" s="79"/>
      <c r="NT25" s="79"/>
      <c r="NU25" s="79"/>
      <c r="NV25" s="79"/>
      <c r="NW25" s="79"/>
      <c r="NX25" s="79"/>
    </row>
    <row r="26" spans="1:388" ht="20.100000000000001" customHeight="1" x14ac:dyDescent="0.25">
      <c r="A26" s="41" t="s">
        <v>241</v>
      </c>
      <c r="B26" s="153"/>
      <c r="C26" s="153"/>
      <c r="D26" s="153"/>
      <c r="E26" s="153"/>
      <c r="F26" s="153"/>
      <c r="G26" s="153"/>
      <c r="H26" s="153"/>
      <c r="I26" s="153"/>
      <c r="J26" s="153"/>
      <c r="K26" s="153"/>
      <c r="L26" s="153"/>
      <c r="M26" s="153"/>
      <c r="N26" s="154">
        <f>SUM(Betalning_ur_kassa_tabell_2[[#This Row],[Period 1]:[Period 12]])</f>
        <v>0</v>
      </c>
      <c r="O26" s="56" t="s">
        <v>267</v>
      </c>
      <c r="P26" s="5"/>
      <c r="Q26" s="5"/>
      <c r="R26" s="5"/>
    </row>
    <row r="27" spans="1:388" ht="20.100000000000001" customHeight="1" x14ac:dyDescent="0.25">
      <c r="A27" s="18" t="s">
        <v>140</v>
      </c>
      <c r="B27" s="95"/>
      <c r="C27" s="95"/>
      <c r="D27" s="95"/>
      <c r="E27" s="95"/>
      <c r="F27" s="95"/>
      <c r="G27" s="95"/>
      <c r="H27" s="95"/>
      <c r="I27" s="95"/>
      <c r="J27" s="95"/>
      <c r="K27" s="95"/>
      <c r="L27" s="95"/>
      <c r="M27" s="95"/>
      <c r="N27" s="150">
        <f>SUM(Betalning_ur_kassa_tabell_2[[#This Row],[Period 1]:[Period 12]])</f>
        <v>0</v>
      </c>
      <c r="O27" s="56" t="s">
        <v>267</v>
      </c>
      <c r="P27" s="5"/>
      <c r="Q27" s="5"/>
      <c r="R27" s="5"/>
    </row>
    <row r="28" spans="1:388" ht="20.100000000000001" customHeight="1" x14ac:dyDescent="0.25">
      <c r="A28" s="40" t="s">
        <v>242</v>
      </c>
      <c r="B28" s="151"/>
      <c r="C28" s="151"/>
      <c r="D28" s="151"/>
      <c r="E28" s="151"/>
      <c r="F28" s="151"/>
      <c r="G28" s="151"/>
      <c r="H28" s="151"/>
      <c r="I28" s="151"/>
      <c r="J28" s="151"/>
      <c r="K28" s="151"/>
      <c r="L28" s="151"/>
      <c r="M28" s="151"/>
      <c r="N28" s="152">
        <f>SUM(Betalning_ur_kassa_tabell_2[[#This Row],[Period 1]:[Period 12]])</f>
        <v>0</v>
      </c>
      <c r="O28" s="56" t="s">
        <v>267</v>
      </c>
      <c r="P28" s="5"/>
      <c r="Q28" s="5"/>
      <c r="R28" s="5"/>
    </row>
    <row r="29" spans="1:388" ht="20.100000000000001" customHeight="1" x14ac:dyDescent="0.25">
      <c r="A29" s="41" t="s">
        <v>144</v>
      </c>
      <c r="B29" s="153"/>
      <c r="C29" s="153"/>
      <c r="D29" s="153"/>
      <c r="E29" s="153"/>
      <c r="F29" s="153"/>
      <c r="G29" s="153"/>
      <c r="H29" s="153"/>
      <c r="I29" s="153"/>
      <c r="J29" s="153"/>
      <c r="K29" s="153"/>
      <c r="L29" s="153"/>
      <c r="M29" s="153"/>
      <c r="N29" s="154">
        <f>SUM(Betalning_ur_kassa_tabell_2[[#This Row],[Period 1]:[Period 12]])</f>
        <v>0</v>
      </c>
      <c r="O29" s="56" t="s">
        <v>267</v>
      </c>
      <c r="P29" s="5"/>
      <c r="Q29" s="5"/>
      <c r="R29" s="5"/>
    </row>
    <row r="30" spans="1:388" ht="20.100000000000001" customHeight="1" x14ac:dyDescent="0.25">
      <c r="A30" s="18" t="s">
        <v>243</v>
      </c>
      <c r="B30" s="95"/>
      <c r="C30" s="95"/>
      <c r="D30" s="95"/>
      <c r="E30" s="95"/>
      <c r="F30" s="95"/>
      <c r="G30" s="95"/>
      <c r="H30" s="95"/>
      <c r="I30" s="95"/>
      <c r="J30" s="95"/>
      <c r="K30" s="95"/>
      <c r="L30" s="95"/>
      <c r="M30" s="95"/>
      <c r="N30" s="150">
        <f>SUM(Betalning_ur_kassa_tabell_2[[#This Row],[Period 1]:[Period 12]])</f>
        <v>0</v>
      </c>
      <c r="O30" s="56" t="s">
        <v>267</v>
      </c>
      <c r="P30" s="5"/>
      <c r="Q30" s="5"/>
      <c r="R30" s="5"/>
    </row>
    <row r="31" spans="1:388" ht="20.100000000000001" customHeight="1" thickBot="1" x14ac:dyDescent="0.3">
      <c r="A31" s="18" t="s">
        <v>244</v>
      </c>
      <c r="B31" s="95"/>
      <c r="C31" s="95"/>
      <c r="D31" s="95"/>
      <c r="E31" s="95"/>
      <c r="F31" s="95"/>
      <c r="G31" s="95"/>
      <c r="H31" s="95"/>
      <c r="I31" s="95"/>
      <c r="J31" s="95"/>
      <c r="K31" s="95"/>
      <c r="L31" s="95"/>
      <c r="M31" s="95"/>
      <c r="N31" s="150">
        <f>SUM(Betalning_ur_kassa_tabell_2[[#This Row],[Period 1]:[Period 12]])</f>
        <v>0</v>
      </c>
      <c r="O31" s="56" t="s">
        <v>267</v>
      </c>
      <c r="P31" s="5"/>
      <c r="Q31" s="5"/>
      <c r="R31" s="5"/>
    </row>
    <row r="32" spans="1:388" ht="30" customHeight="1" x14ac:dyDescent="0.25">
      <c r="A32" s="83" t="s">
        <v>245</v>
      </c>
      <c r="B32" s="155">
        <f>SUM(Betalning_ur_kassa_tabell_2[Period 1],B19,B21)</f>
        <v>0</v>
      </c>
      <c r="C32" s="155">
        <f>SUM(Betalning_ur_kassa_tabell_2[Period 2],C19,C21)</f>
        <v>0</v>
      </c>
      <c r="D32" s="155">
        <f>SUM(Betalning_ur_kassa_tabell_2[Period 3],D19,D21)</f>
        <v>0</v>
      </c>
      <c r="E32" s="155">
        <f>SUM(Betalning_ur_kassa_tabell_2[Period 4],E19,E21)</f>
        <v>0</v>
      </c>
      <c r="F32" s="155">
        <f>SUM(Betalning_ur_kassa_tabell_2[Period 5],F19,F21)</f>
        <v>0</v>
      </c>
      <c r="G32" s="155">
        <f>SUM(Betalning_ur_kassa_tabell_2[Period 6],G19,G21)</f>
        <v>0</v>
      </c>
      <c r="H32" s="155">
        <f>SUM(Betalning_ur_kassa_tabell_2[Period 7],H19,H21)</f>
        <v>0</v>
      </c>
      <c r="I32" s="155">
        <f>SUM(Betalning_ur_kassa_tabell_2[Period 8],I19,I21)</f>
        <v>0</v>
      </c>
      <c r="J32" s="155">
        <f>SUM(Betalning_ur_kassa_tabell_2[Period 9],J19,J21)</f>
        <v>0</v>
      </c>
      <c r="K32" s="155">
        <f>SUM(Betalning_ur_kassa_tabell_2[Period 10],K19,K21)</f>
        <v>0</v>
      </c>
      <c r="L32" s="155">
        <f>SUM(Betalning_ur_kassa_tabell_2[Period 11],L19,L21)</f>
        <v>0</v>
      </c>
      <c r="M32" s="155">
        <f>SUM(Betalning_ur_kassa_tabell_2[Period 12],M19,M21)</f>
        <v>0</v>
      </c>
      <c r="N32" s="155">
        <f>SUM(Betalning_ur_kassa_tabell_2[[#Totals],[Period 1]:[Period 12]])</f>
        <v>0</v>
      </c>
      <c r="O32" s="56" t="s">
        <v>267</v>
      </c>
      <c r="P32" s="5"/>
      <c r="Q32" s="5"/>
      <c r="R32" s="5"/>
    </row>
    <row r="33" spans="1:18" ht="30" customHeight="1" x14ac:dyDescent="0.25">
      <c r="A33" s="17" t="s">
        <v>246</v>
      </c>
      <c r="B33" s="26" t="s">
        <v>7</v>
      </c>
      <c r="C33" s="26" t="s">
        <v>8</v>
      </c>
      <c r="D33" s="26" t="s">
        <v>9</v>
      </c>
      <c r="E33" s="26" t="s">
        <v>10</v>
      </c>
      <c r="F33" s="26" t="s">
        <v>11</v>
      </c>
      <c r="G33" s="26" t="s">
        <v>12</v>
      </c>
      <c r="H33" s="26" t="s">
        <v>13</v>
      </c>
      <c r="I33" s="26" t="s">
        <v>14</v>
      </c>
      <c r="J33" s="26" t="s">
        <v>15</v>
      </c>
      <c r="K33" s="26" t="s">
        <v>16</v>
      </c>
      <c r="L33" s="26" t="s">
        <v>17</v>
      </c>
      <c r="M33" s="26" t="s">
        <v>18</v>
      </c>
      <c r="N33" s="27" t="s">
        <v>121</v>
      </c>
      <c r="O33" s="56" t="s">
        <v>267</v>
      </c>
      <c r="P33" s="5"/>
      <c r="Q33" s="5"/>
      <c r="R33" s="5"/>
    </row>
    <row r="34" spans="1:18" ht="20.100000000000001" customHeight="1" x14ac:dyDescent="0.25">
      <c r="A34" s="18" t="s">
        <v>247</v>
      </c>
      <c r="B34" s="95"/>
      <c r="C34" s="95"/>
      <c r="D34" s="95"/>
      <c r="E34" s="95"/>
      <c r="F34" s="95"/>
      <c r="G34" s="95"/>
      <c r="H34" s="95"/>
      <c r="I34" s="95"/>
      <c r="J34" s="95"/>
      <c r="K34" s="95"/>
      <c r="L34" s="95"/>
      <c r="M34" s="156"/>
      <c r="N34" s="150">
        <f>SUM(Finansierings_tabell_2[[#This Row],[Period 1]:[Period 12]])</f>
        <v>0</v>
      </c>
      <c r="O34" s="56" t="s">
        <v>267</v>
      </c>
      <c r="P34" s="5"/>
      <c r="Q34" s="5"/>
      <c r="R34" s="5"/>
    </row>
    <row r="35" spans="1:18" ht="20.100000000000001" customHeight="1" x14ac:dyDescent="0.25">
      <c r="A35" s="18" t="s">
        <v>248</v>
      </c>
      <c r="B35" s="95"/>
      <c r="C35" s="95"/>
      <c r="D35" s="95"/>
      <c r="E35" s="95"/>
      <c r="F35" s="95"/>
      <c r="G35" s="95"/>
      <c r="H35" s="95"/>
      <c r="I35" s="95"/>
      <c r="J35" s="95"/>
      <c r="K35" s="95"/>
      <c r="L35" s="95"/>
      <c r="M35" s="95"/>
      <c r="N35" s="150">
        <f>SUM(Finansierings_tabell_2[[#This Row],[Period 1]:[Period 12]])</f>
        <v>0</v>
      </c>
      <c r="O35" s="56" t="s">
        <v>267</v>
      </c>
      <c r="P35" s="5"/>
      <c r="Q35" s="5"/>
      <c r="R35" s="5"/>
    </row>
    <row r="36" spans="1:18" ht="20.100000000000001" customHeight="1" x14ac:dyDescent="0.25">
      <c r="A36" s="40" t="s">
        <v>249</v>
      </c>
      <c r="B36" s="151"/>
      <c r="C36" s="151"/>
      <c r="D36" s="151"/>
      <c r="E36" s="151"/>
      <c r="F36" s="151"/>
      <c r="G36" s="151"/>
      <c r="H36" s="151"/>
      <c r="I36" s="151"/>
      <c r="J36" s="151"/>
      <c r="K36" s="151"/>
      <c r="L36" s="151"/>
      <c r="M36" s="151"/>
      <c r="N36" s="152">
        <f>SUM(Finansierings_tabell_2[[#This Row],[Period 1]:[Period 12]])</f>
        <v>0</v>
      </c>
      <c r="O36" s="56" t="s">
        <v>267</v>
      </c>
      <c r="P36" s="5"/>
      <c r="Q36" s="5"/>
      <c r="R36" s="5"/>
    </row>
    <row r="37" spans="1:18" ht="20.100000000000001" customHeight="1" x14ac:dyDescent="0.25">
      <c r="A37" s="41" t="s">
        <v>250</v>
      </c>
      <c r="B37" s="153"/>
      <c r="C37" s="153"/>
      <c r="D37" s="153"/>
      <c r="E37" s="153"/>
      <c r="F37" s="153"/>
      <c r="G37" s="153"/>
      <c r="H37" s="153"/>
      <c r="I37" s="153"/>
      <c r="J37" s="153"/>
      <c r="K37" s="153"/>
      <c r="L37" s="153"/>
      <c r="M37" s="153"/>
      <c r="N37" s="154">
        <f>SUM(Finansierings_tabell_2[[#This Row],[Period 1]:[Period 12]])</f>
        <v>0</v>
      </c>
      <c r="O37" s="56" t="s">
        <v>267</v>
      </c>
      <c r="P37" s="5"/>
      <c r="Q37" s="5"/>
      <c r="R37" s="5"/>
    </row>
    <row r="38" spans="1:18" ht="20.100000000000001" customHeight="1" x14ac:dyDescent="0.25">
      <c r="A38" s="18" t="s">
        <v>251</v>
      </c>
      <c r="B38" s="95"/>
      <c r="C38" s="95"/>
      <c r="D38" s="95"/>
      <c r="E38" s="95"/>
      <c r="F38" s="95"/>
      <c r="G38" s="95"/>
      <c r="H38" s="95"/>
      <c r="I38" s="95"/>
      <c r="J38" s="95"/>
      <c r="K38" s="95"/>
      <c r="L38" s="95"/>
      <c r="M38" s="95"/>
      <c r="N38" s="150">
        <f>SUM(Finansierings_tabell_2[[#This Row],[Period 1]:[Period 12]])</f>
        <v>0</v>
      </c>
      <c r="O38" s="56" t="s">
        <v>267</v>
      </c>
      <c r="P38" s="5"/>
      <c r="Q38" s="5"/>
      <c r="R38" s="5"/>
    </row>
    <row r="39" spans="1:18" ht="20.100000000000001" customHeight="1" thickBot="1" x14ac:dyDescent="0.3">
      <c r="A39" s="40" t="s">
        <v>252</v>
      </c>
      <c r="B39" s="151"/>
      <c r="C39" s="151"/>
      <c r="D39" s="151"/>
      <c r="E39" s="151"/>
      <c r="F39" s="151"/>
      <c r="G39" s="151"/>
      <c r="H39" s="151"/>
      <c r="I39" s="151"/>
      <c r="J39" s="151"/>
      <c r="K39" s="151"/>
      <c r="L39" s="151"/>
      <c r="M39" s="151"/>
      <c r="N39" s="152">
        <f>SUM(Finansierings_tabell_2[[#This Row],[Period 1]:[Period 12]])</f>
        <v>0</v>
      </c>
      <c r="O39" s="56" t="s">
        <v>267</v>
      </c>
      <c r="P39" s="5"/>
      <c r="Q39" s="5"/>
      <c r="R39" s="5"/>
    </row>
    <row r="40" spans="1:18" ht="30" customHeight="1" x14ac:dyDescent="0.25">
      <c r="A40" s="165" t="s">
        <v>253</v>
      </c>
      <c r="B40" s="166">
        <f t="shared" ref="B40:M40" si="5">SUM(-B34,B35:B36,-B37,B38:B39)</f>
        <v>0</v>
      </c>
      <c r="C40" s="166">
        <f t="shared" si="5"/>
        <v>0</v>
      </c>
      <c r="D40" s="166">
        <f t="shared" si="5"/>
        <v>0</v>
      </c>
      <c r="E40" s="166">
        <f t="shared" si="5"/>
        <v>0</v>
      </c>
      <c r="F40" s="166">
        <f t="shared" si="5"/>
        <v>0</v>
      </c>
      <c r="G40" s="166">
        <f t="shared" si="5"/>
        <v>0</v>
      </c>
      <c r="H40" s="166">
        <f t="shared" si="5"/>
        <v>0</v>
      </c>
      <c r="I40" s="166">
        <f t="shared" si="5"/>
        <v>0</v>
      </c>
      <c r="J40" s="166">
        <f t="shared" si="5"/>
        <v>0</v>
      </c>
      <c r="K40" s="166">
        <f t="shared" si="5"/>
        <v>0</v>
      </c>
      <c r="L40" s="166">
        <f t="shared" si="5"/>
        <v>0</v>
      </c>
      <c r="M40" s="166">
        <f t="shared" si="5"/>
        <v>0</v>
      </c>
      <c r="N40" s="166">
        <f>SUM(Finansierings_tabell_2[[#Totals],[Period 1]:[Period 12]])</f>
        <v>0</v>
      </c>
      <c r="O40" s="56" t="s">
        <v>267</v>
      </c>
      <c r="P40" s="5"/>
      <c r="Q40" s="5"/>
      <c r="R40" s="5"/>
    </row>
    <row r="41" spans="1:18" ht="30" customHeight="1" x14ac:dyDescent="0.25">
      <c r="A41" s="167" t="s">
        <v>254</v>
      </c>
      <c r="B41" s="168" t="s">
        <v>7</v>
      </c>
      <c r="C41" s="168" t="s">
        <v>8</v>
      </c>
      <c r="D41" s="168" t="s">
        <v>9</v>
      </c>
      <c r="E41" s="168" t="s">
        <v>10</v>
      </c>
      <c r="F41" s="168" t="s">
        <v>11</v>
      </c>
      <c r="G41" s="168" t="s">
        <v>12</v>
      </c>
      <c r="H41" s="168" t="s">
        <v>13</v>
      </c>
      <c r="I41" s="168" t="s">
        <v>14</v>
      </c>
      <c r="J41" s="168" t="s">
        <v>15</v>
      </c>
      <c r="K41" s="168" t="s">
        <v>16</v>
      </c>
      <c r="L41" s="168" t="s">
        <v>17</v>
      </c>
      <c r="M41" s="168" t="s">
        <v>18</v>
      </c>
      <c r="N41" s="168" t="s">
        <v>121</v>
      </c>
      <c r="O41" s="56" t="s">
        <v>267</v>
      </c>
      <c r="P41" s="5"/>
      <c r="Q41" s="5"/>
      <c r="R41" s="5"/>
    </row>
    <row r="42" spans="1:18" ht="50.1" customHeight="1" x14ac:dyDescent="0.25">
      <c r="A42" s="201" t="s">
        <v>255</v>
      </c>
      <c r="B42" s="132">
        <f>SUM(Startkassa_och_intäkter_tabell_2[Period 1],-Betalning_ur_kassa_tabell_2[[#Totals],[Period 1]],Finansierings_tabell_2[[#Totals],[Period 1]])</f>
        <v>0</v>
      </c>
      <c r="C42" s="132">
        <f>SUM(Startkassa_och_intäkter_tabell_2[Period 2],-Betalning_ur_kassa_tabell_2[[#Totals],[Period 2]],Finansierings_tabell_2[[#Totals],[Period 2]])</f>
        <v>0</v>
      </c>
      <c r="D42" s="132">
        <f>SUM(Startkassa_och_intäkter_tabell_2[Period 3],-Betalning_ur_kassa_tabell_2[[#Totals],[Period 3]],Finansierings_tabell_2[[#Totals],[Period 3]])</f>
        <v>0</v>
      </c>
      <c r="E42" s="132">
        <f>SUM(Startkassa_och_intäkter_tabell_2[Period 4],-Betalning_ur_kassa_tabell_2[[#Totals],[Period 4]],Finansierings_tabell_2[[#Totals],[Period 4]])</f>
        <v>0</v>
      </c>
      <c r="F42" s="132">
        <f>SUM(Startkassa_och_intäkter_tabell_2[Period 5],-Betalning_ur_kassa_tabell_2[[#Totals],[Period 5]],Finansierings_tabell_2[[#Totals],[Period 5]])</f>
        <v>0</v>
      </c>
      <c r="G42" s="132">
        <f>SUM(Startkassa_och_intäkter_tabell_2[Period 6],-Betalning_ur_kassa_tabell_2[[#Totals],[Period 6]],Finansierings_tabell_2[[#Totals],[Period 6]])</f>
        <v>0</v>
      </c>
      <c r="H42" s="132">
        <f>SUM(Startkassa_och_intäkter_tabell_2[Period 7],-Betalning_ur_kassa_tabell_2[[#Totals],[Period 7]],Finansierings_tabell_2[[#Totals],[Period 7]])</f>
        <v>0</v>
      </c>
      <c r="I42" s="132">
        <f>SUM(Startkassa_och_intäkter_tabell_2[Period 8],-Betalning_ur_kassa_tabell_2[[#Totals],[Period 8]],Finansierings_tabell_2[[#Totals],[Period 8]])</f>
        <v>0</v>
      </c>
      <c r="J42" s="132">
        <f>SUM(Startkassa_och_intäkter_tabell_2[Period 9],-Betalning_ur_kassa_tabell_2[[#Totals],[Period 9]],Finansierings_tabell_2[[#Totals],[Period 9]])</f>
        <v>0</v>
      </c>
      <c r="K42" s="132">
        <f>SUM(Startkassa_och_intäkter_tabell_2[Period 10],-Betalning_ur_kassa_tabell_2[[#Totals],[Period 10]],Finansierings_tabell_2[[#Totals],[Period 10]])</f>
        <v>0</v>
      </c>
      <c r="L42" s="132">
        <f>SUM(Startkassa_och_intäkter_tabell_2[Period 11],-Betalning_ur_kassa_tabell_2[[#Totals],[Period 11]],Finansierings_tabell_2[[#Totals],[Period 11]])</f>
        <v>0</v>
      </c>
      <c r="M42" s="132">
        <f>SUM(Startkassa_och_intäkter_tabell_2[Period 12],-Betalning_ur_kassa_tabell_2[[#Totals],[Period 12]],Finansierings_tabell_2[[#Totals],[Period 12]])</f>
        <v>0</v>
      </c>
      <c r="N42" s="132"/>
      <c r="O42" s="56" t="s">
        <v>267</v>
      </c>
      <c r="P42" s="4"/>
      <c r="Q42" s="4"/>
      <c r="R42" s="4"/>
    </row>
    <row r="43" spans="1:18" ht="30" hidden="1" customHeight="1" x14ac:dyDescent="0.25">
      <c r="A43" s="169" t="s">
        <v>258</v>
      </c>
      <c r="B43" s="163" cm="1">
        <f t="array" ref="B43">SUM(B42,-Startkassa_tabell_2[Period 1])</f>
        <v>0</v>
      </c>
      <c r="C43" s="163">
        <f>SUM(C42,-B42)</f>
        <v>0</v>
      </c>
      <c r="D43" s="163">
        <f t="shared" ref="D43:M43" si="6">SUM(D42,-C42)</f>
        <v>0</v>
      </c>
      <c r="E43" s="163">
        <f t="shared" si="6"/>
        <v>0</v>
      </c>
      <c r="F43" s="163">
        <f t="shared" si="6"/>
        <v>0</v>
      </c>
      <c r="G43" s="163">
        <f t="shared" si="6"/>
        <v>0</v>
      </c>
      <c r="H43" s="163">
        <f t="shared" si="6"/>
        <v>0</v>
      </c>
      <c r="I43" s="163">
        <f t="shared" si="6"/>
        <v>0</v>
      </c>
      <c r="J43" s="163">
        <f t="shared" si="6"/>
        <v>0</v>
      </c>
      <c r="K43" s="163">
        <f t="shared" si="6"/>
        <v>0</v>
      </c>
      <c r="L43" s="163">
        <f t="shared" si="6"/>
        <v>0</v>
      </c>
      <c r="M43" s="163">
        <f t="shared" si="6"/>
        <v>0</v>
      </c>
      <c r="N43" s="164">
        <f>SUM(Betalningsberedskap_tabell_2[[#This Row],[Period 1]:[Period 12]])</f>
        <v>0</v>
      </c>
      <c r="O43" s="170" t="s">
        <v>267</v>
      </c>
      <c r="P43" s="5"/>
      <c r="Q43" s="5"/>
      <c r="R43" s="5"/>
    </row>
    <row r="44" spans="1:18" ht="30" customHeight="1" x14ac:dyDescent="0.25">
      <c r="A44" s="171" t="s">
        <v>256</v>
      </c>
      <c r="B44" s="39" t="s">
        <v>78</v>
      </c>
      <c r="C44" s="39" t="s">
        <v>78</v>
      </c>
      <c r="D44" s="39" t="s">
        <v>78</v>
      </c>
      <c r="E44" s="39" t="s">
        <v>78</v>
      </c>
      <c r="F44" s="39" t="s">
        <v>78</v>
      </c>
      <c r="G44" s="39" t="s">
        <v>78</v>
      </c>
      <c r="H44" s="39" t="s">
        <v>78</v>
      </c>
      <c r="I44" s="39" t="s">
        <v>78</v>
      </c>
      <c r="J44" s="39" t="s">
        <v>78</v>
      </c>
      <c r="K44" s="39" t="s">
        <v>78</v>
      </c>
      <c r="L44" s="39" t="s">
        <v>78</v>
      </c>
      <c r="M44" s="39" t="s">
        <v>78</v>
      </c>
      <c r="N44" s="39" t="s">
        <v>78</v>
      </c>
      <c r="O44" s="56" t="s">
        <v>267</v>
      </c>
      <c r="P44" s="5"/>
      <c r="Q44" s="5"/>
      <c r="R44" s="5"/>
    </row>
    <row r="45" spans="1:18" ht="180" customHeight="1" x14ac:dyDescent="0.25">
      <c r="A45" s="173" t="s">
        <v>257</v>
      </c>
      <c r="B45" s="39" t="s">
        <v>78</v>
      </c>
      <c r="C45" s="39" t="s">
        <v>78</v>
      </c>
      <c r="D45" s="39" t="s">
        <v>78</v>
      </c>
      <c r="E45" s="39" t="s">
        <v>78</v>
      </c>
      <c r="F45" s="39" t="s">
        <v>78</v>
      </c>
      <c r="G45" s="39" t="s">
        <v>78</v>
      </c>
      <c r="H45" s="39" t="s">
        <v>78</v>
      </c>
      <c r="I45" s="39" t="s">
        <v>78</v>
      </c>
      <c r="J45" s="39" t="s">
        <v>78</v>
      </c>
      <c r="K45" s="39" t="s">
        <v>78</v>
      </c>
      <c r="L45" s="39" t="s">
        <v>78</v>
      </c>
      <c r="M45" s="39" t="s">
        <v>78</v>
      </c>
      <c r="N45" s="39" t="s">
        <v>78</v>
      </c>
      <c r="O45" s="56" t="s">
        <v>267</v>
      </c>
      <c r="P45" s="4"/>
    </row>
    <row r="46" spans="1:18" ht="18" customHeight="1" x14ac:dyDescent="0.25">
      <c r="A46" s="174" t="s">
        <v>3</v>
      </c>
      <c r="B46" s="39" t="s">
        <v>78</v>
      </c>
      <c r="C46" s="39" t="s">
        <v>78</v>
      </c>
      <c r="D46" s="39" t="s">
        <v>78</v>
      </c>
      <c r="E46" s="39" t="s">
        <v>78</v>
      </c>
      <c r="F46" s="39" t="s">
        <v>78</v>
      </c>
      <c r="G46" s="39" t="s">
        <v>78</v>
      </c>
      <c r="H46" s="39" t="s">
        <v>78</v>
      </c>
      <c r="I46" s="39" t="s">
        <v>78</v>
      </c>
      <c r="J46" s="39" t="s">
        <v>78</v>
      </c>
      <c r="K46" s="39" t="s">
        <v>78</v>
      </c>
      <c r="L46" s="39" t="s">
        <v>78</v>
      </c>
      <c r="M46" s="39" t="s">
        <v>78</v>
      </c>
      <c r="N46" s="39" t="s">
        <v>78</v>
      </c>
      <c r="O46" s="170" t="s">
        <v>267</v>
      </c>
      <c r="P46" s="5"/>
      <c r="Q46" s="5"/>
      <c r="R46" s="5"/>
    </row>
    <row r="47" spans="1:18" ht="3.95" customHeight="1" x14ac:dyDescent="0.25">
      <c r="A47" s="56" t="s">
        <v>268</v>
      </c>
      <c r="B47" s="56" t="s">
        <v>268</v>
      </c>
      <c r="C47" s="56" t="s">
        <v>268</v>
      </c>
      <c r="D47" s="56" t="s">
        <v>268</v>
      </c>
      <c r="E47" s="56" t="s">
        <v>268</v>
      </c>
      <c r="F47" s="56" t="s">
        <v>268</v>
      </c>
      <c r="G47" s="56" t="s">
        <v>268</v>
      </c>
      <c r="H47" s="56" t="s">
        <v>268</v>
      </c>
      <c r="I47" s="56" t="s">
        <v>268</v>
      </c>
      <c r="J47" s="56" t="s">
        <v>268</v>
      </c>
      <c r="K47" s="56" t="s">
        <v>268</v>
      </c>
      <c r="L47" s="56" t="s">
        <v>268</v>
      </c>
      <c r="M47" s="56" t="s">
        <v>268</v>
      </c>
      <c r="N47" s="56" t="s">
        <v>268</v>
      </c>
      <c r="O47" s="170" t="s">
        <v>267</v>
      </c>
    </row>
  </sheetData>
  <sheetProtection sheet="1" objects="1" scenarios="1"/>
  <conditionalFormatting sqref="B9:N9 B17:N17 B42:N43">
    <cfRule type="expression" dxfId="1" priority="2" stopIfTrue="1">
      <formula>B9&lt;0</formula>
    </cfRule>
  </conditionalFormatting>
  <pageMargins left="0.7" right="0.7" top="0.75" bottom="0.75" header="0.3" footer="0.3"/>
  <pageSetup paperSize="9" orientation="portrait" horizontalDpi="0" verticalDpi="0"/>
  <drawing r:id="rId1"/>
  <legacyDrawing r:id="rId2"/>
  <tableParts count="8">
    <tablePart r:id="rId3"/>
    <tablePart r:id="rId4"/>
    <tablePart r:id="rId5"/>
    <tablePart r:id="rId6"/>
    <tablePart r:id="rId7"/>
    <tablePart r:id="rId8"/>
    <tablePart r:id="rId9"/>
    <tablePart r:id="rId10"/>
  </tableParts>
  <extLst>
    <ext xmlns:x14="http://schemas.microsoft.com/office/spreadsheetml/2009/9/main" uri="{78C0D931-6437-407d-A8EE-F0AAD7539E65}">
      <x14:conditionalFormattings>
        <x14:conditionalFormatting xmlns:xm="http://schemas.microsoft.com/office/excel/2006/main">
          <x14:cfRule type="iconSet" priority="10" id="{7E3F9C32-9F2C-0A4E-B77C-A99013F9609F}">
            <x14:iconSet iconSet="3Flags" custom="1">
              <x14:cfvo type="percent">
                <xm:f>0</xm:f>
              </x14:cfvo>
              <x14:cfvo type="num">
                <xm:f>0</xm:f>
              </x14:cfvo>
              <x14:cfvo type="num">
                <xm:f>1</xm:f>
              </x14:cfvo>
              <x14:cfIcon iconSet="3Flags" iconId="0"/>
              <x14:cfIcon iconSet="NoIcons" iconId="0"/>
              <x14:cfIcon iconSet="NoIcons" iconId="0"/>
            </x14:iconSet>
          </x14:cfRule>
          <xm:sqref>B17:N17 B9:N9</xm:sqref>
        </x14:conditionalFormatting>
        <x14:conditionalFormatting xmlns:xm="http://schemas.microsoft.com/office/excel/2006/main">
          <x14:cfRule type="iconSet" priority="11" id="{67DF188F-36FA-BD40-BDA1-BAF507DAAEFC}">
            <x14:iconSet iconSet="3Flags" custom="1">
              <x14:cfvo type="percent">
                <xm:f>0</xm:f>
              </x14:cfvo>
              <x14:cfvo type="num" gte="0">
                <xm:f>0</xm:f>
              </x14:cfvo>
              <x14:cfvo type="num" gte="0">
                <xm:f>1</xm:f>
              </x14:cfvo>
              <x14:cfIcon iconSet="3Flags" iconId="0"/>
              <x14:cfIcon iconSet="NoIcons" iconId="0"/>
              <x14:cfIcon iconSet="NoIcons" iconId="0"/>
            </x14:iconSet>
          </x14:cfRule>
          <xm:sqref>B42:N43</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090F4-1F03-3A4C-9B74-6A95E8CBEC26}">
  <dimension ref="A1:NX47"/>
  <sheetViews>
    <sheetView zoomScale="80" zoomScaleNormal="80" workbookViewId="0">
      <selection activeCell="B3" sqref="B3"/>
    </sheetView>
  </sheetViews>
  <sheetFormatPr defaultColWidth="10.875" defaultRowHeight="18" x14ac:dyDescent="0.25"/>
  <cols>
    <col min="1" max="1" width="73.875" style="2" customWidth="1"/>
    <col min="2" max="14" width="23.875" style="2" customWidth="1"/>
    <col min="15" max="15" width="0.625" style="2" customWidth="1"/>
    <col min="16" max="16384" width="10.875" style="2"/>
  </cols>
  <sheetData>
    <row r="1" spans="1:18" ht="60" customHeight="1" x14ac:dyDescent="0.25">
      <c r="A1" s="56" t="s">
        <v>269</v>
      </c>
      <c r="B1" s="39" t="s">
        <v>4</v>
      </c>
      <c r="C1" s="39" t="s">
        <v>4</v>
      </c>
      <c r="D1" s="39" t="s">
        <v>4</v>
      </c>
      <c r="E1" s="39" t="s">
        <v>4</v>
      </c>
      <c r="F1" s="39" t="s">
        <v>4</v>
      </c>
      <c r="G1" s="39" t="s">
        <v>4</v>
      </c>
      <c r="H1" s="39" t="s">
        <v>4</v>
      </c>
      <c r="I1" s="39" t="s">
        <v>4</v>
      </c>
      <c r="J1" s="39" t="s">
        <v>4</v>
      </c>
      <c r="K1" s="39" t="s">
        <v>4</v>
      </c>
      <c r="L1" s="39" t="s">
        <v>4</v>
      </c>
      <c r="M1" s="39" t="s">
        <v>4</v>
      </c>
      <c r="N1" s="39" t="s">
        <v>4</v>
      </c>
      <c r="O1" s="56" t="s">
        <v>19</v>
      </c>
    </row>
    <row r="2" spans="1:18" ht="30" customHeight="1" x14ac:dyDescent="0.25">
      <c r="A2" s="1" t="s">
        <v>220</v>
      </c>
      <c r="B2" s="39" t="s">
        <v>4</v>
      </c>
      <c r="C2" s="39" t="s">
        <v>4</v>
      </c>
      <c r="D2" s="39" t="s">
        <v>4</v>
      </c>
      <c r="E2" s="39" t="s">
        <v>4</v>
      </c>
      <c r="F2" s="39" t="s">
        <v>4</v>
      </c>
      <c r="G2" s="39" t="s">
        <v>4</v>
      </c>
      <c r="H2" s="39" t="s">
        <v>4</v>
      </c>
      <c r="I2" s="39" t="s">
        <v>4</v>
      </c>
      <c r="J2" s="39" t="s">
        <v>4</v>
      </c>
      <c r="K2" s="39" t="s">
        <v>4</v>
      </c>
      <c r="L2" s="39" t="s">
        <v>4</v>
      </c>
      <c r="M2" s="39" t="s">
        <v>4</v>
      </c>
      <c r="N2" s="39" t="s">
        <v>4</v>
      </c>
      <c r="O2" s="56" t="s">
        <v>19</v>
      </c>
      <c r="P2" s="5"/>
      <c r="Q2" s="5"/>
      <c r="R2" s="5"/>
    </row>
    <row r="3" spans="1:18" ht="24.95" customHeight="1" x14ac:dyDescent="0.25">
      <c r="A3" s="2" t="s">
        <v>270</v>
      </c>
      <c r="B3" s="39" t="s">
        <v>4</v>
      </c>
      <c r="C3" s="39" t="s">
        <v>4</v>
      </c>
      <c r="D3" s="39" t="s">
        <v>4</v>
      </c>
      <c r="E3" s="39" t="s">
        <v>4</v>
      </c>
      <c r="F3" s="39" t="s">
        <v>4</v>
      </c>
      <c r="G3" s="39" t="s">
        <v>4</v>
      </c>
      <c r="H3" s="39" t="s">
        <v>4</v>
      </c>
      <c r="I3" s="39" t="s">
        <v>4</v>
      </c>
      <c r="J3" s="39" t="s">
        <v>4</v>
      </c>
      <c r="K3" s="39" t="s">
        <v>4</v>
      </c>
      <c r="L3" s="39" t="s">
        <v>4</v>
      </c>
      <c r="M3" s="39" t="s">
        <v>4</v>
      </c>
      <c r="N3" s="39" t="s">
        <v>4</v>
      </c>
      <c r="O3" s="56" t="s">
        <v>19</v>
      </c>
      <c r="P3" s="5"/>
      <c r="Q3" s="5"/>
      <c r="R3" s="5"/>
    </row>
    <row r="4" spans="1:18" ht="18.75" x14ac:dyDescent="0.25">
      <c r="A4" s="6" t="s">
        <v>222</v>
      </c>
      <c r="B4" s="39" t="s">
        <v>4</v>
      </c>
      <c r="C4" s="39" t="s">
        <v>4</v>
      </c>
      <c r="D4" s="39" t="s">
        <v>4</v>
      </c>
      <c r="E4" s="39" t="s">
        <v>4</v>
      </c>
      <c r="F4" s="39" t="s">
        <v>4</v>
      </c>
      <c r="G4" s="39" t="s">
        <v>4</v>
      </c>
      <c r="H4" s="39" t="s">
        <v>4</v>
      </c>
      <c r="I4" s="39" t="s">
        <v>4</v>
      </c>
      <c r="J4" s="39" t="s">
        <v>4</v>
      </c>
      <c r="K4" s="39" t="s">
        <v>4</v>
      </c>
      <c r="L4" s="39" t="s">
        <v>4</v>
      </c>
      <c r="M4" s="39" t="s">
        <v>4</v>
      </c>
      <c r="N4" s="39" t="s">
        <v>4</v>
      </c>
      <c r="O4" s="56" t="s">
        <v>19</v>
      </c>
      <c r="P4" s="5"/>
      <c r="Q4" s="5"/>
      <c r="R4" s="5"/>
    </row>
    <row r="5" spans="1:18" ht="30" customHeight="1" x14ac:dyDescent="0.25">
      <c r="A5" s="157">
        <v>25.5</v>
      </c>
      <c r="B5" s="39" t="s">
        <v>4</v>
      </c>
      <c r="C5" s="39" t="s">
        <v>4</v>
      </c>
      <c r="D5" s="39" t="s">
        <v>4</v>
      </c>
      <c r="E5" s="39" t="s">
        <v>4</v>
      </c>
      <c r="F5" s="39" t="s">
        <v>4</v>
      </c>
      <c r="G5" s="39" t="s">
        <v>4</v>
      </c>
      <c r="H5" s="39" t="s">
        <v>4</v>
      </c>
      <c r="I5" s="39" t="s">
        <v>4</v>
      </c>
      <c r="J5" s="39" t="s">
        <v>4</v>
      </c>
      <c r="K5" s="39" t="s">
        <v>4</v>
      </c>
      <c r="L5" s="39" t="s">
        <v>4</v>
      </c>
      <c r="M5" s="39" t="s">
        <v>4</v>
      </c>
      <c r="N5" s="39" t="s">
        <v>4</v>
      </c>
      <c r="O5" s="56" t="s">
        <v>19</v>
      </c>
      <c r="P5" s="5"/>
      <c r="Q5" s="5"/>
      <c r="R5" s="5"/>
    </row>
    <row r="6" spans="1:18" ht="18.75" x14ac:dyDescent="0.25">
      <c r="A6" s="6" t="s">
        <v>223</v>
      </c>
      <c r="B6" s="39" t="s">
        <v>4</v>
      </c>
      <c r="C6" s="39" t="s">
        <v>4</v>
      </c>
      <c r="D6" s="39" t="s">
        <v>4</v>
      </c>
      <c r="E6" s="39" t="s">
        <v>4</v>
      </c>
      <c r="F6" s="39" t="s">
        <v>4</v>
      </c>
      <c r="G6" s="39" t="s">
        <v>4</v>
      </c>
      <c r="H6" s="39" t="s">
        <v>4</v>
      </c>
      <c r="I6" s="39" t="s">
        <v>4</v>
      </c>
      <c r="J6" s="39" t="s">
        <v>4</v>
      </c>
      <c r="K6" s="39" t="s">
        <v>4</v>
      </c>
      <c r="L6" s="39" t="s">
        <v>4</v>
      </c>
      <c r="M6" s="39" t="s">
        <v>4</v>
      </c>
      <c r="N6" s="39" t="s">
        <v>4</v>
      </c>
      <c r="O6" s="56" t="s">
        <v>19</v>
      </c>
      <c r="P6" s="5"/>
      <c r="Q6" s="5"/>
      <c r="R6" s="5"/>
    </row>
    <row r="7" spans="1:18" ht="39.950000000000003" customHeight="1" x14ac:dyDescent="0.25">
      <c r="A7" s="42">
        <v>46753</v>
      </c>
      <c r="B7" s="43" t="str">
        <f>UPPER(TEXT(Räkenskapsperioden_börjar,"[$-041D]kkk"))</f>
        <v>JAN</v>
      </c>
      <c r="C7" s="43" t="str">
        <f>UPPER(TEXT(EOMONTH(Räkenskapsperioden_börjar,1),"[$-041D]kkk"))</f>
        <v>FEB</v>
      </c>
      <c r="D7" s="43" t="str">
        <f>UPPER(TEXT(EOMONTH(Räkenskapsperioden_börjar,2),"[$-041D]kkk"))</f>
        <v>MAR</v>
      </c>
      <c r="E7" s="43" t="str">
        <f>UPPER(TEXT(EOMONTH(Räkenskapsperioden_börjar,3),"[$-041D]kkk"))</f>
        <v>APR</v>
      </c>
      <c r="F7" s="43" t="str">
        <f>UPPER(TEXT(EOMONTH(Räkenskapsperioden_börjar,4),"[$-041D]kkk"))</f>
        <v>MAJ</v>
      </c>
      <c r="G7" s="43" t="str">
        <f>UPPER(TEXT(EOMONTH(Räkenskapsperioden_börjar,5),"[$-041D]kkk"))</f>
        <v>JUN</v>
      </c>
      <c r="H7" s="43" t="str">
        <f>UPPER(TEXT(EOMONTH(Räkenskapsperioden_börjar,6),"[$-041D]kkk"))</f>
        <v>JUL</v>
      </c>
      <c r="I7" s="43" t="str">
        <f>UPPER(TEXT(EOMONTH(Räkenskapsperioden_börjar,7),"[$-041D]kkk"))</f>
        <v>AUG</v>
      </c>
      <c r="J7" s="43" t="str">
        <f>UPPER(TEXT(EOMONTH(Räkenskapsperioden_börjar,8),"[$-041D]kkk"))</f>
        <v>SEP</v>
      </c>
      <c r="K7" s="43" t="str">
        <f>UPPER(TEXT(EOMONTH(Räkenskapsperioden_börjar,9),"[$-041D]kkk"))</f>
        <v>OKT</v>
      </c>
      <c r="L7" s="43" t="str">
        <f>UPPER(TEXT(EOMONTH(Räkenskapsperioden_börjar,10),"[$-041D]kkk"))</f>
        <v>NOV</v>
      </c>
      <c r="M7" s="43" t="str">
        <f>UPPER(TEXT(EOMONTH(Räkenskapsperioden_börjar,11),"[$-041D]kkk"))</f>
        <v>DEC</v>
      </c>
      <c r="N7" s="43" t="s">
        <v>262</v>
      </c>
      <c r="O7" s="56" t="s">
        <v>19</v>
      </c>
      <c r="P7" s="5"/>
      <c r="Q7" s="5"/>
      <c r="R7" s="5"/>
    </row>
    <row r="8" spans="1:18" ht="30" customHeight="1" x14ac:dyDescent="0.25">
      <c r="A8" s="44" t="s">
        <v>224</v>
      </c>
      <c r="B8" s="26" t="s">
        <v>7</v>
      </c>
      <c r="C8" s="26" t="s">
        <v>8</v>
      </c>
      <c r="D8" s="26" t="s">
        <v>9</v>
      </c>
      <c r="E8" s="26" t="s">
        <v>10</v>
      </c>
      <c r="F8" s="26" t="s">
        <v>11</v>
      </c>
      <c r="G8" s="26" t="s">
        <v>12</v>
      </c>
      <c r="H8" s="26" t="s">
        <v>13</v>
      </c>
      <c r="I8" s="26" t="s">
        <v>14</v>
      </c>
      <c r="J8" s="26" t="s">
        <v>15</v>
      </c>
      <c r="K8" s="26" t="s">
        <v>16</v>
      </c>
      <c r="L8" s="26" t="s">
        <v>17</v>
      </c>
      <c r="M8" s="26" t="s">
        <v>18</v>
      </c>
      <c r="N8" s="27" t="s">
        <v>121</v>
      </c>
      <c r="O8" s="56" t="s">
        <v>19</v>
      </c>
      <c r="P8" s="5"/>
      <c r="Q8" s="5"/>
      <c r="R8" s="5"/>
    </row>
    <row r="9" spans="1:18" ht="30" customHeight="1" x14ac:dyDescent="0.25">
      <c r="A9" s="45" t="s">
        <v>225</v>
      </c>
      <c r="B9" s="132">
        <f>Kassaflödeskalkyl2å!M42</f>
        <v>0</v>
      </c>
      <c r="C9" s="132">
        <f>B42</f>
        <v>0</v>
      </c>
      <c r="D9" s="132">
        <f t="shared" ref="D9:M9" si="0">C42</f>
        <v>0</v>
      </c>
      <c r="E9" s="132">
        <f t="shared" si="0"/>
        <v>0</v>
      </c>
      <c r="F9" s="132">
        <f t="shared" si="0"/>
        <v>0</v>
      </c>
      <c r="G9" s="132">
        <f t="shared" si="0"/>
        <v>0</v>
      </c>
      <c r="H9" s="132">
        <f t="shared" si="0"/>
        <v>0</v>
      </c>
      <c r="I9" s="132">
        <f t="shared" si="0"/>
        <v>0</v>
      </c>
      <c r="J9" s="132">
        <f t="shared" si="0"/>
        <v>0</v>
      </c>
      <c r="K9" s="132">
        <f t="shared" si="0"/>
        <v>0</v>
      </c>
      <c r="L9" s="132">
        <f t="shared" si="0"/>
        <v>0</v>
      </c>
      <c r="M9" s="132">
        <f t="shared" si="0"/>
        <v>0</v>
      </c>
      <c r="N9" s="132"/>
      <c r="O9" s="56" t="s">
        <v>19</v>
      </c>
      <c r="P9" s="5"/>
      <c r="Q9" s="5"/>
      <c r="R9" s="5"/>
    </row>
    <row r="10" spans="1:18" ht="30" customHeight="1" x14ac:dyDescent="0.25">
      <c r="A10" s="17" t="s">
        <v>226</v>
      </c>
      <c r="B10" s="26" t="s">
        <v>7</v>
      </c>
      <c r="C10" s="26" t="s">
        <v>8</v>
      </c>
      <c r="D10" s="26" t="s">
        <v>9</v>
      </c>
      <c r="E10" s="26" t="s">
        <v>10</v>
      </c>
      <c r="F10" s="26" t="s">
        <v>11</v>
      </c>
      <c r="G10" s="26" t="s">
        <v>12</v>
      </c>
      <c r="H10" s="26" t="s">
        <v>13</v>
      </c>
      <c r="I10" s="26" t="s">
        <v>14</v>
      </c>
      <c r="J10" s="26" t="s">
        <v>15</v>
      </c>
      <c r="K10" s="26" t="s">
        <v>16</v>
      </c>
      <c r="L10" s="26" t="s">
        <v>17</v>
      </c>
      <c r="M10" s="26" t="s">
        <v>18</v>
      </c>
      <c r="N10" s="27" t="s">
        <v>121</v>
      </c>
      <c r="O10" s="56" t="s">
        <v>19</v>
      </c>
      <c r="P10" s="5"/>
      <c r="Q10" s="5"/>
      <c r="R10" s="5"/>
    </row>
    <row r="11" spans="1:18" ht="20.100000000000001" customHeight="1" x14ac:dyDescent="0.25">
      <c r="A11" s="46" t="s">
        <v>227</v>
      </c>
      <c r="B11" s="134"/>
      <c r="C11" s="134"/>
      <c r="D11" s="134"/>
      <c r="E11" s="134"/>
      <c r="F11" s="134"/>
      <c r="G11" s="134"/>
      <c r="H11" s="134"/>
      <c r="I11" s="134"/>
      <c r="J11" s="134"/>
      <c r="K11" s="134"/>
      <c r="L11" s="134"/>
      <c r="M11" s="135"/>
      <c r="N11" s="136">
        <f>SUM(Betalning_till_kassa_tabell_3[[#This Row],[Period 1]:[Period 12]])</f>
        <v>0</v>
      </c>
      <c r="O11" s="56" t="s">
        <v>19</v>
      </c>
      <c r="P11" s="5"/>
      <c r="Q11" s="5"/>
      <c r="R11" s="5"/>
    </row>
    <row r="12" spans="1:18" ht="20.100000000000001" customHeight="1" x14ac:dyDescent="0.25">
      <c r="A12" s="47" t="s">
        <v>228</v>
      </c>
      <c r="B12" s="138"/>
      <c r="C12" s="138"/>
      <c r="D12" s="138"/>
      <c r="E12" s="138"/>
      <c r="F12" s="138"/>
      <c r="G12" s="138"/>
      <c r="H12" s="138"/>
      <c r="I12" s="138"/>
      <c r="J12" s="138"/>
      <c r="K12" s="138"/>
      <c r="L12" s="138"/>
      <c r="M12" s="139"/>
      <c r="N12" s="140">
        <f>SUM(Betalning_till_kassa_tabell_3[[#This Row],[Period 1]:[Period 12]])</f>
        <v>0</v>
      </c>
      <c r="O12" s="56" t="s">
        <v>19</v>
      </c>
      <c r="P12" s="5"/>
      <c r="Q12" s="5"/>
      <c r="R12" s="5"/>
    </row>
    <row r="13" spans="1:18" ht="20.100000000000001" customHeight="1" thickBot="1" x14ac:dyDescent="0.3">
      <c r="A13" s="48" t="s">
        <v>229</v>
      </c>
      <c r="B13" s="142"/>
      <c r="C13" s="142"/>
      <c r="D13" s="142"/>
      <c r="E13" s="142"/>
      <c r="F13" s="142"/>
      <c r="G13" s="142"/>
      <c r="H13" s="142"/>
      <c r="I13" s="142"/>
      <c r="J13" s="142"/>
      <c r="K13" s="142"/>
      <c r="L13" s="142"/>
      <c r="M13" s="143"/>
      <c r="N13" s="144">
        <f>SUM(Betalning_till_kassa_tabell_3[[#This Row],[Period 1]:[Period 12]])</f>
        <v>0</v>
      </c>
      <c r="O13" s="56" t="s">
        <v>19</v>
      </c>
      <c r="P13" s="5"/>
      <c r="Q13" s="5"/>
      <c r="R13" s="5"/>
    </row>
    <row r="14" spans="1:18" ht="30" customHeight="1" x14ac:dyDescent="0.25">
      <c r="A14" s="80" t="s">
        <v>121</v>
      </c>
      <c r="B14" s="145">
        <f t="shared" ref="B14:M14" si="1">SUM(B11:B13)</f>
        <v>0</v>
      </c>
      <c r="C14" s="145">
        <f t="shared" si="1"/>
        <v>0</v>
      </c>
      <c r="D14" s="145">
        <f t="shared" si="1"/>
        <v>0</v>
      </c>
      <c r="E14" s="145">
        <f t="shared" si="1"/>
        <v>0</v>
      </c>
      <c r="F14" s="145">
        <f t="shared" si="1"/>
        <v>0</v>
      </c>
      <c r="G14" s="145">
        <f t="shared" si="1"/>
        <v>0</v>
      </c>
      <c r="H14" s="145">
        <f t="shared" si="1"/>
        <v>0</v>
      </c>
      <c r="I14" s="145">
        <f t="shared" si="1"/>
        <v>0</v>
      </c>
      <c r="J14" s="145">
        <f t="shared" si="1"/>
        <v>0</v>
      </c>
      <c r="K14" s="145">
        <f t="shared" si="1"/>
        <v>0</v>
      </c>
      <c r="L14" s="145">
        <f t="shared" si="1"/>
        <v>0</v>
      </c>
      <c r="M14" s="145">
        <f t="shared" si="1"/>
        <v>0</v>
      </c>
      <c r="N14" s="146">
        <f>SUM(Betalning_till_kassa_tabell_3[[#This Row],[Period 1]:[Period 12]])</f>
        <v>0</v>
      </c>
      <c r="O14" s="56" t="s">
        <v>19</v>
      </c>
      <c r="P14" s="5"/>
      <c r="Q14" s="5"/>
      <c r="R14" s="5"/>
    </row>
    <row r="15" spans="1:18" ht="30" customHeight="1" x14ac:dyDescent="0.25">
      <c r="A15" s="82" t="s">
        <v>230</v>
      </c>
      <c r="B15" s="147">
        <f t="shared" ref="B15:M15" si="2">B14*(1+(Mervärdesskatteprocent/100))</f>
        <v>0</v>
      </c>
      <c r="C15" s="147">
        <f t="shared" si="2"/>
        <v>0</v>
      </c>
      <c r="D15" s="147">
        <f t="shared" si="2"/>
        <v>0</v>
      </c>
      <c r="E15" s="147">
        <f t="shared" si="2"/>
        <v>0</v>
      </c>
      <c r="F15" s="147">
        <f t="shared" si="2"/>
        <v>0</v>
      </c>
      <c r="G15" s="147">
        <f t="shared" si="2"/>
        <v>0</v>
      </c>
      <c r="H15" s="147">
        <f t="shared" si="2"/>
        <v>0</v>
      </c>
      <c r="I15" s="147">
        <f t="shared" si="2"/>
        <v>0</v>
      </c>
      <c r="J15" s="147">
        <f t="shared" si="2"/>
        <v>0</v>
      </c>
      <c r="K15" s="147">
        <f t="shared" si="2"/>
        <v>0</v>
      </c>
      <c r="L15" s="147">
        <f t="shared" si="2"/>
        <v>0</v>
      </c>
      <c r="M15" s="147">
        <f t="shared" si="2"/>
        <v>0</v>
      </c>
      <c r="N15" s="147">
        <f>SUM(Betalning_till_kassa_tabell_3[[#This Row],[Period 1]:[Period 12]])</f>
        <v>0</v>
      </c>
      <c r="O15" s="56" t="s">
        <v>19</v>
      </c>
      <c r="P15" s="5"/>
      <c r="Q15" s="5"/>
      <c r="R15" s="5"/>
    </row>
    <row r="16" spans="1:18" ht="30" customHeight="1" x14ac:dyDescent="0.25">
      <c r="A16" s="49" t="s">
        <v>231</v>
      </c>
      <c r="B16" s="26" t="s">
        <v>7</v>
      </c>
      <c r="C16" s="26" t="s">
        <v>8</v>
      </c>
      <c r="D16" s="26" t="s">
        <v>9</v>
      </c>
      <c r="E16" s="26" t="s">
        <v>10</v>
      </c>
      <c r="F16" s="26" t="s">
        <v>11</v>
      </c>
      <c r="G16" s="26" t="s">
        <v>12</v>
      </c>
      <c r="H16" s="26" t="s">
        <v>13</v>
      </c>
      <c r="I16" s="26" t="s">
        <v>14</v>
      </c>
      <c r="J16" s="26" t="s">
        <v>15</v>
      </c>
      <c r="K16" s="26" t="s">
        <v>16</v>
      </c>
      <c r="L16" s="26" t="s">
        <v>17</v>
      </c>
      <c r="M16" s="26" t="s">
        <v>18</v>
      </c>
      <c r="N16" s="27" t="s">
        <v>121</v>
      </c>
      <c r="O16" s="56" t="s">
        <v>19</v>
      </c>
      <c r="P16" s="5"/>
      <c r="Q16" s="5"/>
      <c r="R16" s="5"/>
    </row>
    <row r="17" spans="1:388" ht="30" customHeight="1" x14ac:dyDescent="0.25">
      <c r="A17" s="45" t="s">
        <v>232</v>
      </c>
      <c r="B17" s="132">
        <f>SUM(Startkassa_tabell_3[Period 1],B15)</f>
        <v>0</v>
      </c>
      <c r="C17" s="132">
        <f>SUM(Startkassa_tabell_3[Period 2],C15)</f>
        <v>0</v>
      </c>
      <c r="D17" s="132">
        <f>SUM(Startkassa_tabell_3[Period 3],D15)</f>
        <v>0</v>
      </c>
      <c r="E17" s="132">
        <f>SUM(Startkassa_tabell_3[Period 4],E15)</f>
        <v>0</v>
      </c>
      <c r="F17" s="132">
        <f>SUM(Startkassa_tabell_3[Period 5],F15)</f>
        <v>0</v>
      </c>
      <c r="G17" s="132">
        <f>SUM(Startkassa_tabell_3[Period 6],G15)</f>
        <v>0</v>
      </c>
      <c r="H17" s="132">
        <f>SUM(Startkassa_tabell_3[Period 7],H15)</f>
        <v>0</v>
      </c>
      <c r="I17" s="132">
        <f>SUM(Startkassa_tabell_3[Period 8],I15)</f>
        <v>0</v>
      </c>
      <c r="J17" s="132">
        <f>SUM(Startkassa_tabell_3[Period 9],J15)</f>
        <v>0</v>
      </c>
      <c r="K17" s="132">
        <f>SUM(Startkassa_tabell_3[Period 10],K15)</f>
        <v>0</v>
      </c>
      <c r="L17" s="132">
        <f>SUM(Startkassa_tabell_3[Period 11],L15)</f>
        <v>0</v>
      </c>
      <c r="M17" s="132">
        <f>SUM(Startkassa_tabell_3[Period 12],M15)</f>
        <v>0</v>
      </c>
      <c r="N17" s="132"/>
      <c r="O17" s="56" t="s">
        <v>19</v>
      </c>
      <c r="P17" s="5"/>
      <c r="Q17" s="5"/>
      <c r="R17" s="5"/>
    </row>
    <row r="18" spans="1:388" ht="30" customHeight="1" x14ac:dyDescent="0.25">
      <c r="A18" s="49" t="s">
        <v>233</v>
      </c>
      <c r="B18" s="26" t="s">
        <v>7</v>
      </c>
      <c r="C18" s="26" t="s">
        <v>8</v>
      </c>
      <c r="D18" s="26" t="s">
        <v>9</v>
      </c>
      <c r="E18" s="26" t="s">
        <v>10</v>
      </c>
      <c r="F18" s="26" t="s">
        <v>11</v>
      </c>
      <c r="G18" s="26" t="s">
        <v>12</v>
      </c>
      <c r="H18" s="26" t="s">
        <v>13</v>
      </c>
      <c r="I18" s="26" t="s">
        <v>14</v>
      </c>
      <c r="J18" s="26" t="s">
        <v>15</v>
      </c>
      <c r="K18" s="26" t="s">
        <v>16</v>
      </c>
      <c r="L18" s="26" t="s">
        <v>17</v>
      </c>
      <c r="M18" s="26" t="s">
        <v>18</v>
      </c>
      <c r="N18" s="27" t="s">
        <v>121</v>
      </c>
      <c r="O18" s="56" t="s">
        <v>19</v>
      </c>
      <c r="P18" s="5"/>
      <c r="Q18" s="5"/>
      <c r="R18" s="5"/>
    </row>
    <row r="19" spans="1:388" ht="20.100000000000001" customHeight="1" thickBot="1" x14ac:dyDescent="0.3">
      <c r="A19" s="84" t="s">
        <v>234</v>
      </c>
      <c r="B19" s="162"/>
      <c r="C19" s="162"/>
      <c r="D19" s="162"/>
      <c r="E19" s="162"/>
      <c r="F19" s="162"/>
      <c r="G19" s="162"/>
      <c r="H19" s="162"/>
      <c r="I19" s="162"/>
      <c r="J19" s="162"/>
      <c r="K19" s="162"/>
      <c r="L19" s="162"/>
      <c r="M19" s="162"/>
      <c r="N19" s="104">
        <f>SUM(Betalning_ur_kassa_moms_tabell_3[[#This Row],[Period 1]:[Period 12]])</f>
        <v>0</v>
      </c>
      <c r="O19" s="56" t="s">
        <v>19</v>
      </c>
      <c r="P19" s="5"/>
      <c r="Q19" s="5"/>
      <c r="R19" s="5"/>
    </row>
    <row r="20" spans="1:388" ht="30" customHeight="1" x14ac:dyDescent="0.25">
      <c r="A20" s="81" t="s">
        <v>235</v>
      </c>
      <c r="B20" s="148">
        <f t="shared" ref="B20:L20" si="3">B19*(1+(Mervärdesskatteprocent/100))</f>
        <v>0</v>
      </c>
      <c r="C20" s="148">
        <f t="shared" si="3"/>
        <v>0</v>
      </c>
      <c r="D20" s="148">
        <f t="shared" si="3"/>
        <v>0</v>
      </c>
      <c r="E20" s="148">
        <f t="shared" si="3"/>
        <v>0</v>
      </c>
      <c r="F20" s="148">
        <f t="shared" si="3"/>
        <v>0</v>
      </c>
      <c r="G20" s="148">
        <f t="shared" si="3"/>
        <v>0</v>
      </c>
      <c r="H20" s="148">
        <f t="shared" si="3"/>
        <v>0</v>
      </c>
      <c r="I20" s="148">
        <f t="shared" si="3"/>
        <v>0</v>
      </c>
      <c r="J20" s="148">
        <f t="shared" si="3"/>
        <v>0</v>
      </c>
      <c r="K20" s="148">
        <f t="shared" si="3"/>
        <v>0</v>
      </c>
      <c r="L20" s="148">
        <f t="shared" si="3"/>
        <v>0</v>
      </c>
      <c r="M20" s="148">
        <f>M19*(1+(Mervärdesskatteprocent/100))</f>
        <v>0</v>
      </c>
      <c r="N20" s="148">
        <f>SUM(Betalning_ur_kassa_moms_tabell_3[[#This Row],[Period 1]:[Period 12]])</f>
        <v>0</v>
      </c>
      <c r="O20" s="56" t="s">
        <v>19</v>
      </c>
      <c r="P20" s="5"/>
      <c r="Q20" s="5"/>
      <c r="R20" s="5"/>
    </row>
    <row r="21" spans="1:388" ht="30" customHeight="1" x14ac:dyDescent="0.25">
      <c r="A21" s="82" t="s">
        <v>236</v>
      </c>
      <c r="B21" s="149">
        <f>(Kassaflödeskalkyl2å!L15-Kassaflödeskalkyl2å!L14)-(Kassaflödeskalkyl2å!L20-Kassaflödeskalkyl2å!L19)</f>
        <v>0</v>
      </c>
      <c r="C21" s="149">
        <f>(Kassaflödeskalkyl2å!M15-Kassaflödeskalkyl2å!M14)-(Kassaflödeskalkyl2å!M20-Kassaflödeskalkyl2å!M19)</f>
        <v>0</v>
      </c>
      <c r="D21" s="149">
        <f t="shared" ref="D21:L21" si="4">(B15-B14)-(B20-B19)</f>
        <v>0</v>
      </c>
      <c r="E21" s="149">
        <f t="shared" si="4"/>
        <v>0</v>
      </c>
      <c r="F21" s="149">
        <f t="shared" si="4"/>
        <v>0</v>
      </c>
      <c r="G21" s="149">
        <f t="shared" si="4"/>
        <v>0</v>
      </c>
      <c r="H21" s="149">
        <f t="shared" si="4"/>
        <v>0</v>
      </c>
      <c r="I21" s="149">
        <f t="shared" si="4"/>
        <v>0</v>
      </c>
      <c r="J21" s="149">
        <f t="shared" si="4"/>
        <v>0</v>
      </c>
      <c r="K21" s="149">
        <f t="shared" si="4"/>
        <v>0</v>
      </c>
      <c r="L21" s="149">
        <f t="shared" si="4"/>
        <v>0</v>
      </c>
      <c r="M21" s="149">
        <f>(K15-K14)-(K20-K19)</f>
        <v>0</v>
      </c>
      <c r="N21" s="149">
        <f>SUM(Betalning_ur_kassa_moms_tabell_3[[#This Row],[Period 1]:[Period 12]])</f>
        <v>0</v>
      </c>
      <c r="O21" s="56" t="s">
        <v>19</v>
      </c>
      <c r="P21" s="5"/>
      <c r="Q21" s="5"/>
      <c r="R21" s="5"/>
    </row>
    <row r="22" spans="1:388" ht="30" customHeight="1" x14ac:dyDescent="0.25">
      <c r="A22" s="17" t="s">
        <v>237</v>
      </c>
      <c r="B22" s="26" t="s">
        <v>7</v>
      </c>
      <c r="C22" s="26" t="s">
        <v>8</v>
      </c>
      <c r="D22" s="26" t="s">
        <v>9</v>
      </c>
      <c r="E22" s="26" t="s">
        <v>10</v>
      </c>
      <c r="F22" s="26" t="s">
        <v>11</v>
      </c>
      <c r="G22" s="26" t="s">
        <v>12</v>
      </c>
      <c r="H22" s="26" t="s">
        <v>13</v>
      </c>
      <c r="I22" s="26" t="s">
        <v>14</v>
      </c>
      <c r="J22" s="26" t="s">
        <v>15</v>
      </c>
      <c r="K22" s="26" t="s">
        <v>16</v>
      </c>
      <c r="L22" s="26" t="s">
        <v>17</v>
      </c>
      <c r="M22" s="26" t="s">
        <v>18</v>
      </c>
      <c r="N22" s="27" t="s">
        <v>121</v>
      </c>
      <c r="O22" s="56" t="s">
        <v>19</v>
      </c>
      <c r="P22" s="5"/>
      <c r="Q22" s="5"/>
      <c r="R22" s="5"/>
    </row>
    <row r="23" spans="1:388" ht="20.100000000000001" customHeight="1" x14ac:dyDescent="0.25">
      <c r="A23" s="18" t="s">
        <v>238</v>
      </c>
      <c r="B23" s="95"/>
      <c r="C23" s="95"/>
      <c r="D23" s="95"/>
      <c r="E23" s="95"/>
      <c r="F23" s="95"/>
      <c r="G23" s="95"/>
      <c r="H23" s="95"/>
      <c r="I23" s="95"/>
      <c r="J23" s="95"/>
      <c r="K23" s="95"/>
      <c r="L23" s="95"/>
      <c r="M23" s="95"/>
      <c r="N23" s="150">
        <f>SUM(Betalning_ur_kassa_tabell_3[[#This Row],[Period 1]:[Period 12]])</f>
        <v>0</v>
      </c>
      <c r="O23" s="56" t="s">
        <v>19</v>
      </c>
      <c r="P23" s="5"/>
      <c r="Q23" s="5"/>
      <c r="R23" s="5"/>
    </row>
    <row r="24" spans="1:388" ht="20.100000000000001" customHeight="1" x14ac:dyDescent="0.25">
      <c r="A24" s="18" t="s">
        <v>239</v>
      </c>
      <c r="B24" s="95"/>
      <c r="C24" s="95"/>
      <c r="D24" s="95"/>
      <c r="E24" s="95"/>
      <c r="F24" s="95"/>
      <c r="G24" s="95"/>
      <c r="H24" s="95"/>
      <c r="I24" s="95"/>
      <c r="J24" s="95"/>
      <c r="K24" s="95"/>
      <c r="L24" s="95"/>
      <c r="M24" s="95"/>
      <c r="N24" s="150">
        <f>SUM(Betalning_ur_kassa_tabell_3[[#This Row],[Period 1]:[Period 12]])</f>
        <v>0</v>
      </c>
      <c r="O24" s="56" t="s">
        <v>19</v>
      </c>
      <c r="P24" s="78"/>
      <c r="Q24" s="78"/>
      <c r="R24" s="78"/>
      <c r="S24" s="79"/>
      <c r="T24" s="79"/>
      <c r="U24" s="79"/>
      <c r="V24" s="79"/>
      <c r="W24" s="79"/>
      <c r="X24" s="79"/>
      <c r="Y24" s="79"/>
      <c r="Z24" s="79"/>
      <c r="AA24" s="79"/>
      <c r="AB24" s="79"/>
      <c r="AC24" s="79"/>
      <c r="AD24" s="79"/>
      <c r="AE24" s="79"/>
      <c r="AF24" s="79"/>
      <c r="AG24" s="79"/>
      <c r="AH24" s="79"/>
      <c r="AI24" s="79"/>
      <c r="AJ24" s="79"/>
      <c r="AK24" s="79"/>
      <c r="AL24" s="79"/>
      <c r="AM24" s="79"/>
      <c r="AN24" s="79"/>
      <c r="AO24" s="79"/>
      <c r="AP24" s="79"/>
      <c r="AQ24" s="79"/>
      <c r="AR24" s="79"/>
      <c r="AS24" s="79"/>
      <c r="AT24" s="79"/>
      <c r="AU24" s="79"/>
      <c r="AV24" s="79"/>
      <c r="AW24" s="79"/>
      <c r="AX24" s="79"/>
      <c r="AY24" s="79"/>
      <c r="AZ24" s="79"/>
      <c r="BA24" s="79"/>
      <c r="BB24" s="79"/>
      <c r="BC24" s="79"/>
      <c r="BD24" s="79"/>
      <c r="BE24" s="79"/>
      <c r="BF24" s="79"/>
      <c r="BG24" s="79"/>
      <c r="BH24" s="79"/>
      <c r="BI24" s="79"/>
      <c r="BJ24" s="79"/>
      <c r="BK24" s="79"/>
      <c r="BL24" s="79"/>
      <c r="BM24" s="79"/>
      <c r="BN24" s="79"/>
      <c r="BO24" s="79"/>
      <c r="BP24" s="79"/>
      <c r="BQ24" s="79"/>
      <c r="BR24" s="79"/>
      <c r="BS24" s="79"/>
      <c r="BT24" s="79"/>
      <c r="BU24" s="79"/>
      <c r="BV24" s="79"/>
      <c r="BW24" s="79"/>
      <c r="BX24" s="79"/>
      <c r="BY24" s="79"/>
      <c r="BZ24" s="79"/>
      <c r="CA24" s="79"/>
      <c r="CB24" s="79"/>
      <c r="CC24" s="79"/>
      <c r="CD24" s="79"/>
      <c r="CE24" s="79"/>
      <c r="CF24" s="79"/>
      <c r="CG24" s="79"/>
      <c r="CH24" s="79"/>
      <c r="CI24" s="79"/>
      <c r="CJ24" s="79"/>
      <c r="CK24" s="79"/>
      <c r="CL24" s="79"/>
      <c r="CM24" s="79"/>
      <c r="CN24" s="79"/>
      <c r="CO24" s="79"/>
      <c r="CP24" s="79"/>
      <c r="CQ24" s="79"/>
      <c r="CR24" s="79"/>
      <c r="CS24" s="79"/>
      <c r="CT24" s="79"/>
      <c r="CU24" s="79"/>
      <c r="CV24" s="79"/>
      <c r="CW24" s="79"/>
      <c r="CX24" s="79"/>
      <c r="CY24" s="79"/>
      <c r="CZ24" s="79"/>
      <c r="DA24" s="79"/>
      <c r="DB24" s="79"/>
      <c r="DC24" s="79"/>
      <c r="DD24" s="79"/>
      <c r="DE24" s="79"/>
      <c r="DF24" s="79"/>
      <c r="DG24" s="79"/>
      <c r="DH24" s="79"/>
      <c r="DI24" s="79"/>
      <c r="DJ24" s="79"/>
      <c r="DK24" s="79"/>
      <c r="DL24" s="79"/>
      <c r="DM24" s="79"/>
      <c r="DN24" s="79"/>
      <c r="DO24" s="79"/>
      <c r="DP24" s="79"/>
      <c r="DQ24" s="79"/>
      <c r="DR24" s="79"/>
      <c r="DS24" s="79"/>
      <c r="DT24" s="79"/>
      <c r="DU24" s="79"/>
      <c r="DV24" s="79"/>
      <c r="DW24" s="79"/>
      <c r="DX24" s="79"/>
      <c r="DY24" s="79"/>
      <c r="DZ24" s="79"/>
      <c r="EA24" s="79"/>
      <c r="EB24" s="79"/>
      <c r="EC24" s="79"/>
      <c r="ED24" s="79"/>
      <c r="EE24" s="79"/>
      <c r="EF24" s="79"/>
      <c r="EG24" s="79"/>
      <c r="EH24" s="79"/>
      <c r="EI24" s="79"/>
      <c r="EJ24" s="79"/>
      <c r="EK24" s="79"/>
      <c r="EL24" s="79"/>
      <c r="EM24" s="79"/>
      <c r="EN24" s="79"/>
      <c r="EO24" s="79"/>
      <c r="EP24" s="79"/>
      <c r="EQ24" s="79"/>
      <c r="ER24" s="79"/>
      <c r="ES24" s="79"/>
      <c r="ET24" s="79"/>
      <c r="EU24" s="79"/>
      <c r="EV24" s="79"/>
      <c r="EW24" s="79"/>
      <c r="EX24" s="79"/>
      <c r="EY24" s="79"/>
      <c r="EZ24" s="79"/>
      <c r="FA24" s="79"/>
      <c r="FB24" s="79"/>
      <c r="FC24" s="79"/>
      <c r="FD24" s="79"/>
      <c r="FE24" s="79"/>
      <c r="FF24" s="79"/>
      <c r="FG24" s="79"/>
      <c r="FH24" s="79"/>
      <c r="FI24" s="79"/>
      <c r="FJ24" s="79"/>
      <c r="FK24" s="79"/>
      <c r="FL24" s="79"/>
      <c r="FM24" s="79"/>
      <c r="FN24" s="79"/>
      <c r="FO24" s="79"/>
      <c r="FP24" s="79"/>
      <c r="FQ24" s="79"/>
      <c r="FR24" s="79"/>
      <c r="FS24" s="79"/>
      <c r="FT24" s="79"/>
      <c r="FU24" s="79"/>
      <c r="FV24" s="79"/>
      <c r="FW24" s="79"/>
      <c r="FX24" s="79"/>
      <c r="FY24" s="79"/>
      <c r="FZ24" s="79"/>
      <c r="GA24" s="79"/>
      <c r="GB24" s="79"/>
      <c r="GC24" s="79"/>
      <c r="GD24" s="79"/>
      <c r="GE24" s="79"/>
      <c r="GF24" s="79"/>
      <c r="GG24" s="79"/>
      <c r="GH24" s="79"/>
      <c r="GI24" s="79"/>
      <c r="GJ24" s="79"/>
      <c r="GK24" s="79"/>
      <c r="GL24" s="79"/>
      <c r="GM24" s="79"/>
      <c r="GN24" s="79"/>
      <c r="GO24" s="79"/>
      <c r="GP24" s="79"/>
      <c r="GQ24" s="79"/>
      <c r="GR24" s="79"/>
      <c r="GS24" s="79"/>
      <c r="GT24" s="79"/>
      <c r="GU24" s="79"/>
      <c r="GV24" s="79"/>
      <c r="GW24" s="79"/>
      <c r="GX24" s="79"/>
      <c r="GY24" s="79"/>
      <c r="GZ24" s="79"/>
      <c r="HA24" s="79"/>
      <c r="HB24" s="79"/>
      <c r="HC24" s="79"/>
      <c r="HD24" s="79"/>
      <c r="HE24" s="79"/>
      <c r="HF24" s="79"/>
      <c r="HG24" s="79"/>
      <c r="HH24" s="79"/>
      <c r="HI24" s="79"/>
      <c r="HJ24" s="79"/>
      <c r="HK24" s="79"/>
      <c r="HL24" s="79"/>
      <c r="HM24" s="79"/>
      <c r="HN24" s="79"/>
      <c r="HO24" s="79"/>
      <c r="HP24" s="79"/>
      <c r="HQ24" s="79"/>
      <c r="HR24" s="79"/>
      <c r="HS24" s="79"/>
      <c r="HT24" s="79"/>
      <c r="HU24" s="79"/>
      <c r="HV24" s="79"/>
      <c r="HW24" s="79"/>
      <c r="HX24" s="79"/>
      <c r="HY24" s="79"/>
      <c r="HZ24" s="79"/>
      <c r="IA24" s="79"/>
      <c r="IB24" s="79"/>
      <c r="IC24" s="79"/>
      <c r="ID24" s="79"/>
      <c r="IE24" s="79"/>
      <c r="IF24" s="79"/>
      <c r="IG24" s="79"/>
      <c r="IH24" s="79"/>
      <c r="II24" s="79"/>
      <c r="IJ24" s="79"/>
      <c r="IK24" s="79"/>
      <c r="IL24" s="79"/>
      <c r="IM24" s="79"/>
      <c r="IN24" s="79"/>
      <c r="IO24" s="79"/>
      <c r="IP24" s="79"/>
      <c r="IQ24" s="79"/>
      <c r="IR24" s="79"/>
      <c r="IS24" s="79"/>
      <c r="IT24" s="79"/>
      <c r="IU24" s="79"/>
      <c r="IV24" s="79"/>
      <c r="IW24" s="79"/>
      <c r="IX24" s="79"/>
      <c r="IY24" s="79"/>
      <c r="IZ24" s="79"/>
      <c r="JA24" s="79"/>
      <c r="JB24" s="79"/>
      <c r="JC24" s="79"/>
      <c r="JD24" s="79"/>
      <c r="JE24" s="79"/>
      <c r="JF24" s="79"/>
      <c r="JG24" s="79"/>
      <c r="JH24" s="79"/>
      <c r="JI24" s="79"/>
      <c r="JJ24" s="79"/>
      <c r="JK24" s="79"/>
      <c r="JL24" s="79"/>
      <c r="JM24" s="79"/>
      <c r="JN24" s="79"/>
      <c r="JO24" s="79"/>
      <c r="JP24" s="79"/>
      <c r="JQ24" s="79"/>
      <c r="JR24" s="79"/>
      <c r="JS24" s="79"/>
      <c r="JT24" s="79"/>
      <c r="JU24" s="79"/>
      <c r="JV24" s="79"/>
      <c r="JW24" s="79"/>
      <c r="JX24" s="79"/>
      <c r="JY24" s="79"/>
      <c r="JZ24" s="79"/>
      <c r="KA24" s="79"/>
      <c r="KB24" s="79"/>
      <c r="KC24" s="79"/>
      <c r="KD24" s="79"/>
      <c r="KE24" s="79"/>
      <c r="KF24" s="79"/>
      <c r="KG24" s="79"/>
      <c r="KH24" s="79"/>
      <c r="KI24" s="79"/>
      <c r="KJ24" s="79"/>
      <c r="KK24" s="79"/>
      <c r="KL24" s="79"/>
      <c r="KM24" s="79"/>
      <c r="KN24" s="79"/>
      <c r="KO24" s="79"/>
      <c r="KP24" s="79"/>
      <c r="KQ24" s="79"/>
      <c r="KR24" s="79"/>
      <c r="KS24" s="79"/>
      <c r="KT24" s="79"/>
      <c r="KU24" s="79"/>
      <c r="KV24" s="79"/>
      <c r="KW24" s="79"/>
      <c r="KX24" s="79"/>
      <c r="KY24" s="79"/>
      <c r="KZ24" s="79"/>
      <c r="LA24" s="79"/>
      <c r="LB24" s="79"/>
      <c r="LC24" s="79"/>
      <c r="LD24" s="79"/>
      <c r="LE24" s="79"/>
      <c r="LF24" s="79"/>
      <c r="LG24" s="79"/>
      <c r="LH24" s="79"/>
      <c r="LI24" s="79"/>
      <c r="LJ24" s="79"/>
      <c r="LK24" s="79"/>
      <c r="LL24" s="79"/>
      <c r="LM24" s="79"/>
      <c r="LN24" s="79"/>
      <c r="LO24" s="79"/>
      <c r="LP24" s="79"/>
      <c r="LQ24" s="79"/>
      <c r="LR24" s="79"/>
      <c r="LS24" s="79"/>
      <c r="LT24" s="79"/>
      <c r="LU24" s="79"/>
      <c r="LV24" s="79"/>
      <c r="LW24" s="79"/>
      <c r="LX24" s="79"/>
      <c r="LY24" s="79"/>
      <c r="LZ24" s="79"/>
      <c r="MA24" s="79"/>
      <c r="MB24" s="79"/>
      <c r="MC24" s="79"/>
      <c r="MD24" s="79"/>
      <c r="ME24" s="79"/>
      <c r="MF24" s="79"/>
      <c r="MG24" s="79"/>
      <c r="MH24" s="79"/>
      <c r="MI24" s="79"/>
      <c r="MJ24" s="79"/>
      <c r="MK24" s="79"/>
      <c r="ML24" s="79"/>
      <c r="MM24" s="79"/>
      <c r="MN24" s="79"/>
      <c r="MO24" s="79"/>
      <c r="MP24" s="79"/>
      <c r="MQ24" s="79"/>
      <c r="MR24" s="79"/>
      <c r="MS24" s="79"/>
      <c r="MT24" s="79"/>
      <c r="MU24" s="79"/>
      <c r="MV24" s="79"/>
      <c r="MW24" s="79"/>
      <c r="MX24" s="79"/>
      <c r="MY24" s="79"/>
      <c r="MZ24" s="79"/>
      <c r="NA24" s="79"/>
      <c r="NB24" s="79"/>
      <c r="NC24" s="79"/>
      <c r="ND24" s="79"/>
      <c r="NE24" s="79"/>
      <c r="NF24" s="79"/>
      <c r="NG24" s="79"/>
      <c r="NH24" s="79"/>
      <c r="NI24" s="79"/>
      <c r="NJ24" s="79"/>
      <c r="NK24" s="79"/>
      <c r="NL24" s="79"/>
      <c r="NM24" s="79"/>
      <c r="NN24" s="79"/>
      <c r="NO24" s="79"/>
      <c r="NP24" s="79"/>
      <c r="NQ24" s="79"/>
      <c r="NR24" s="79"/>
      <c r="NS24" s="79"/>
      <c r="NT24" s="79"/>
      <c r="NU24" s="79"/>
      <c r="NV24" s="79"/>
      <c r="NW24" s="79"/>
      <c r="NX24" s="79"/>
    </row>
    <row r="25" spans="1:388" ht="20.100000000000001" customHeight="1" x14ac:dyDescent="0.25">
      <c r="A25" s="40" t="s">
        <v>240</v>
      </c>
      <c r="B25" s="151"/>
      <c r="C25" s="151"/>
      <c r="D25" s="151"/>
      <c r="E25" s="151"/>
      <c r="F25" s="151"/>
      <c r="G25" s="151"/>
      <c r="H25" s="151"/>
      <c r="I25" s="151"/>
      <c r="J25" s="151"/>
      <c r="K25" s="151"/>
      <c r="L25" s="151"/>
      <c r="M25" s="151"/>
      <c r="N25" s="152">
        <f>SUM(Betalning_ur_kassa_tabell_3[[#This Row],[Period 1]:[Period 12]])</f>
        <v>0</v>
      </c>
      <c r="O25" s="56" t="s">
        <v>19</v>
      </c>
      <c r="P25" s="78"/>
      <c r="Q25" s="78"/>
      <c r="R25" s="78"/>
      <c r="S25" s="79"/>
      <c r="T25" s="79"/>
      <c r="U25" s="79"/>
      <c r="V25" s="79"/>
      <c r="W25" s="79"/>
      <c r="X25" s="79"/>
      <c r="Y25" s="79"/>
      <c r="Z25" s="79"/>
      <c r="AA25" s="79"/>
      <c r="AB25" s="79"/>
      <c r="AC25" s="79"/>
      <c r="AD25" s="79"/>
      <c r="AE25" s="79"/>
      <c r="AF25" s="79"/>
      <c r="AG25" s="79"/>
      <c r="AH25" s="79"/>
      <c r="AI25" s="79"/>
      <c r="AJ25" s="79"/>
      <c r="AK25" s="79"/>
      <c r="AL25" s="79"/>
      <c r="AM25" s="79"/>
      <c r="AN25" s="79"/>
      <c r="AO25" s="79"/>
      <c r="AP25" s="79"/>
      <c r="AQ25" s="79"/>
      <c r="AR25" s="79"/>
      <c r="AS25" s="79"/>
      <c r="AT25" s="79"/>
      <c r="AU25" s="79"/>
      <c r="AV25" s="79"/>
      <c r="AW25" s="79"/>
      <c r="AX25" s="79"/>
      <c r="AY25" s="79"/>
      <c r="AZ25" s="79"/>
      <c r="BA25" s="79"/>
      <c r="BB25" s="79"/>
      <c r="BC25" s="79"/>
      <c r="BD25" s="79"/>
      <c r="BE25" s="79"/>
      <c r="BF25" s="79"/>
      <c r="BG25" s="79"/>
      <c r="BH25" s="79"/>
      <c r="BI25" s="79"/>
      <c r="BJ25" s="79"/>
      <c r="BK25" s="79"/>
      <c r="BL25" s="79"/>
      <c r="BM25" s="79"/>
      <c r="BN25" s="79"/>
      <c r="BO25" s="79"/>
      <c r="BP25" s="79"/>
      <c r="BQ25" s="79"/>
      <c r="BR25" s="79"/>
      <c r="BS25" s="79"/>
      <c r="BT25" s="79"/>
      <c r="BU25" s="79"/>
      <c r="BV25" s="79"/>
      <c r="BW25" s="79"/>
      <c r="BX25" s="79"/>
      <c r="BY25" s="79"/>
      <c r="BZ25" s="79"/>
      <c r="CA25" s="79"/>
      <c r="CB25" s="79"/>
      <c r="CC25" s="79"/>
      <c r="CD25" s="79"/>
      <c r="CE25" s="79"/>
      <c r="CF25" s="79"/>
      <c r="CG25" s="79"/>
      <c r="CH25" s="79"/>
      <c r="CI25" s="79"/>
      <c r="CJ25" s="79"/>
      <c r="CK25" s="79"/>
      <c r="CL25" s="79"/>
      <c r="CM25" s="79"/>
      <c r="CN25" s="79"/>
      <c r="CO25" s="79"/>
      <c r="CP25" s="79"/>
      <c r="CQ25" s="79"/>
      <c r="CR25" s="79"/>
      <c r="CS25" s="79"/>
      <c r="CT25" s="79"/>
      <c r="CU25" s="79"/>
      <c r="CV25" s="79"/>
      <c r="CW25" s="79"/>
      <c r="CX25" s="79"/>
      <c r="CY25" s="79"/>
      <c r="CZ25" s="79"/>
      <c r="DA25" s="79"/>
      <c r="DB25" s="79"/>
      <c r="DC25" s="79"/>
      <c r="DD25" s="79"/>
      <c r="DE25" s="79"/>
      <c r="DF25" s="79"/>
      <c r="DG25" s="79"/>
      <c r="DH25" s="79"/>
      <c r="DI25" s="79"/>
      <c r="DJ25" s="79"/>
      <c r="DK25" s="79"/>
      <c r="DL25" s="79"/>
      <c r="DM25" s="79"/>
      <c r="DN25" s="79"/>
      <c r="DO25" s="79"/>
      <c r="DP25" s="79"/>
      <c r="DQ25" s="79"/>
      <c r="DR25" s="79"/>
      <c r="DS25" s="79"/>
      <c r="DT25" s="79"/>
      <c r="DU25" s="79"/>
      <c r="DV25" s="79"/>
      <c r="DW25" s="79"/>
      <c r="DX25" s="79"/>
      <c r="DY25" s="79"/>
      <c r="DZ25" s="79"/>
      <c r="EA25" s="79"/>
      <c r="EB25" s="79"/>
      <c r="EC25" s="79"/>
      <c r="ED25" s="79"/>
      <c r="EE25" s="79"/>
      <c r="EF25" s="79"/>
      <c r="EG25" s="79"/>
      <c r="EH25" s="79"/>
      <c r="EI25" s="79"/>
      <c r="EJ25" s="79"/>
      <c r="EK25" s="79"/>
      <c r="EL25" s="79"/>
      <c r="EM25" s="79"/>
      <c r="EN25" s="79"/>
      <c r="EO25" s="79"/>
      <c r="EP25" s="79"/>
      <c r="EQ25" s="79"/>
      <c r="ER25" s="79"/>
      <c r="ES25" s="79"/>
      <c r="ET25" s="79"/>
      <c r="EU25" s="79"/>
      <c r="EV25" s="79"/>
      <c r="EW25" s="79"/>
      <c r="EX25" s="79"/>
      <c r="EY25" s="79"/>
      <c r="EZ25" s="79"/>
      <c r="FA25" s="79"/>
      <c r="FB25" s="79"/>
      <c r="FC25" s="79"/>
      <c r="FD25" s="79"/>
      <c r="FE25" s="79"/>
      <c r="FF25" s="79"/>
      <c r="FG25" s="79"/>
      <c r="FH25" s="79"/>
      <c r="FI25" s="79"/>
      <c r="FJ25" s="79"/>
      <c r="FK25" s="79"/>
      <c r="FL25" s="79"/>
      <c r="FM25" s="79"/>
      <c r="FN25" s="79"/>
      <c r="FO25" s="79"/>
      <c r="FP25" s="79"/>
      <c r="FQ25" s="79"/>
      <c r="FR25" s="79"/>
      <c r="FS25" s="79"/>
      <c r="FT25" s="79"/>
      <c r="FU25" s="79"/>
      <c r="FV25" s="79"/>
      <c r="FW25" s="79"/>
      <c r="FX25" s="79"/>
      <c r="FY25" s="79"/>
      <c r="FZ25" s="79"/>
      <c r="GA25" s="79"/>
      <c r="GB25" s="79"/>
      <c r="GC25" s="79"/>
      <c r="GD25" s="79"/>
      <c r="GE25" s="79"/>
      <c r="GF25" s="79"/>
      <c r="GG25" s="79"/>
      <c r="GH25" s="79"/>
      <c r="GI25" s="79"/>
      <c r="GJ25" s="79"/>
      <c r="GK25" s="79"/>
      <c r="GL25" s="79"/>
      <c r="GM25" s="79"/>
      <c r="GN25" s="79"/>
      <c r="GO25" s="79"/>
      <c r="GP25" s="79"/>
      <c r="GQ25" s="79"/>
      <c r="GR25" s="79"/>
      <c r="GS25" s="79"/>
      <c r="GT25" s="79"/>
      <c r="GU25" s="79"/>
      <c r="GV25" s="79"/>
      <c r="GW25" s="79"/>
      <c r="GX25" s="79"/>
      <c r="GY25" s="79"/>
      <c r="GZ25" s="79"/>
      <c r="HA25" s="79"/>
      <c r="HB25" s="79"/>
      <c r="HC25" s="79"/>
      <c r="HD25" s="79"/>
      <c r="HE25" s="79"/>
      <c r="HF25" s="79"/>
      <c r="HG25" s="79"/>
      <c r="HH25" s="79"/>
      <c r="HI25" s="79"/>
      <c r="HJ25" s="79"/>
      <c r="HK25" s="79"/>
      <c r="HL25" s="79"/>
      <c r="HM25" s="79"/>
      <c r="HN25" s="79"/>
      <c r="HO25" s="79"/>
      <c r="HP25" s="79"/>
      <c r="HQ25" s="79"/>
      <c r="HR25" s="79"/>
      <c r="HS25" s="79"/>
      <c r="HT25" s="79"/>
      <c r="HU25" s="79"/>
      <c r="HV25" s="79"/>
      <c r="HW25" s="79"/>
      <c r="HX25" s="79"/>
      <c r="HY25" s="79"/>
      <c r="HZ25" s="79"/>
      <c r="IA25" s="79"/>
      <c r="IB25" s="79"/>
      <c r="IC25" s="79"/>
      <c r="ID25" s="79"/>
      <c r="IE25" s="79"/>
      <c r="IF25" s="79"/>
      <c r="IG25" s="79"/>
      <c r="IH25" s="79"/>
      <c r="II25" s="79"/>
      <c r="IJ25" s="79"/>
      <c r="IK25" s="79"/>
      <c r="IL25" s="79"/>
      <c r="IM25" s="79"/>
      <c r="IN25" s="79"/>
      <c r="IO25" s="79"/>
      <c r="IP25" s="79"/>
      <c r="IQ25" s="79"/>
      <c r="IR25" s="79"/>
      <c r="IS25" s="79"/>
      <c r="IT25" s="79"/>
      <c r="IU25" s="79"/>
      <c r="IV25" s="79"/>
      <c r="IW25" s="79"/>
      <c r="IX25" s="79"/>
      <c r="IY25" s="79"/>
      <c r="IZ25" s="79"/>
      <c r="JA25" s="79"/>
      <c r="JB25" s="79"/>
      <c r="JC25" s="79"/>
      <c r="JD25" s="79"/>
      <c r="JE25" s="79"/>
      <c r="JF25" s="79"/>
      <c r="JG25" s="79"/>
      <c r="JH25" s="79"/>
      <c r="JI25" s="79"/>
      <c r="JJ25" s="79"/>
      <c r="JK25" s="79"/>
      <c r="JL25" s="79"/>
      <c r="JM25" s="79"/>
      <c r="JN25" s="79"/>
      <c r="JO25" s="79"/>
      <c r="JP25" s="79"/>
      <c r="JQ25" s="79"/>
      <c r="JR25" s="79"/>
      <c r="JS25" s="79"/>
      <c r="JT25" s="79"/>
      <c r="JU25" s="79"/>
      <c r="JV25" s="79"/>
      <c r="JW25" s="79"/>
      <c r="JX25" s="79"/>
      <c r="JY25" s="79"/>
      <c r="JZ25" s="79"/>
      <c r="KA25" s="79"/>
      <c r="KB25" s="79"/>
      <c r="KC25" s="79"/>
      <c r="KD25" s="79"/>
      <c r="KE25" s="79"/>
      <c r="KF25" s="79"/>
      <c r="KG25" s="79"/>
      <c r="KH25" s="79"/>
      <c r="KI25" s="79"/>
      <c r="KJ25" s="79"/>
      <c r="KK25" s="79"/>
      <c r="KL25" s="79"/>
      <c r="KM25" s="79"/>
      <c r="KN25" s="79"/>
      <c r="KO25" s="79"/>
      <c r="KP25" s="79"/>
      <c r="KQ25" s="79"/>
      <c r="KR25" s="79"/>
      <c r="KS25" s="79"/>
      <c r="KT25" s="79"/>
      <c r="KU25" s="79"/>
      <c r="KV25" s="79"/>
      <c r="KW25" s="79"/>
      <c r="KX25" s="79"/>
      <c r="KY25" s="79"/>
      <c r="KZ25" s="79"/>
      <c r="LA25" s="79"/>
      <c r="LB25" s="79"/>
      <c r="LC25" s="79"/>
      <c r="LD25" s="79"/>
      <c r="LE25" s="79"/>
      <c r="LF25" s="79"/>
      <c r="LG25" s="79"/>
      <c r="LH25" s="79"/>
      <c r="LI25" s="79"/>
      <c r="LJ25" s="79"/>
      <c r="LK25" s="79"/>
      <c r="LL25" s="79"/>
      <c r="LM25" s="79"/>
      <c r="LN25" s="79"/>
      <c r="LO25" s="79"/>
      <c r="LP25" s="79"/>
      <c r="LQ25" s="79"/>
      <c r="LR25" s="79"/>
      <c r="LS25" s="79"/>
      <c r="LT25" s="79"/>
      <c r="LU25" s="79"/>
      <c r="LV25" s="79"/>
      <c r="LW25" s="79"/>
      <c r="LX25" s="79"/>
      <c r="LY25" s="79"/>
      <c r="LZ25" s="79"/>
      <c r="MA25" s="79"/>
      <c r="MB25" s="79"/>
      <c r="MC25" s="79"/>
      <c r="MD25" s="79"/>
      <c r="ME25" s="79"/>
      <c r="MF25" s="79"/>
      <c r="MG25" s="79"/>
      <c r="MH25" s="79"/>
      <c r="MI25" s="79"/>
      <c r="MJ25" s="79"/>
      <c r="MK25" s="79"/>
      <c r="ML25" s="79"/>
      <c r="MM25" s="79"/>
      <c r="MN25" s="79"/>
      <c r="MO25" s="79"/>
      <c r="MP25" s="79"/>
      <c r="MQ25" s="79"/>
      <c r="MR25" s="79"/>
      <c r="MS25" s="79"/>
      <c r="MT25" s="79"/>
      <c r="MU25" s="79"/>
      <c r="MV25" s="79"/>
      <c r="MW25" s="79"/>
      <c r="MX25" s="79"/>
      <c r="MY25" s="79"/>
      <c r="MZ25" s="79"/>
      <c r="NA25" s="79"/>
      <c r="NB25" s="79"/>
      <c r="NC25" s="79"/>
      <c r="ND25" s="79"/>
      <c r="NE25" s="79"/>
      <c r="NF25" s="79"/>
      <c r="NG25" s="79"/>
      <c r="NH25" s="79"/>
      <c r="NI25" s="79"/>
      <c r="NJ25" s="79"/>
      <c r="NK25" s="79"/>
      <c r="NL25" s="79"/>
      <c r="NM25" s="79"/>
      <c r="NN25" s="79"/>
      <c r="NO25" s="79"/>
      <c r="NP25" s="79"/>
      <c r="NQ25" s="79"/>
      <c r="NR25" s="79"/>
      <c r="NS25" s="79"/>
      <c r="NT25" s="79"/>
      <c r="NU25" s="79"/>
      <c r="NV25" s="79"/>
      <c r="NW25" s="79"/>
      <c r="NX25" s="79"/>
    </row>
    <row r="26" spans="1:388" ht="20.100000000000001" customHeight="1" x14ac:dyDescent="0.25">
      <c r="A26" s="41" t="s">
        <v>241</v>
      </c>
      <c r="B26" s="153"/>
      <c r="C26" s="153"/>
      <c r="D26" s="153"/>
      <c r="E26" s="153"/>
      <c r="F26" s="153"/>
      <c r="G26" s="153"/>
      <c r="H26" s="153"/>
      <c r="I26" s="153"/>
      <c r="J26" s="153"/>
      <c r="K26" s="153"/>
      <c r="L26" s="153"/>
      <c r="M26" s="153"/>
      <c r="N26" s="154">
        <f>SUM(Betalning_ur_kassa_tabell_3[[#This Row],[Period 1]:[Period 12]])</f>
        <v>0</v>
      </c>
      <c r="O26" s="56" t="s">
        <v>19</v>
      </c>
      <c r="P26" s="5"/>
      <c r="Q26" s="5"/>
      <c r="R26" s="5"/>
    </row>
    <row r="27" spans="1:388" ht="20.100000000000001" customHeight="1" x14ac:dyDescent="0.25">
      <c r="A27" s="18" t="s">
        <v>140</v>
      </c>
      <c r="B27" s="95"/>
      <c r="C27" s="95"/>
      <c r="D27" s="95"/>
      <c r="E27" s="95"/>
      <c r="F27" s="95"/>
      <c r="G27" s="95"/>
      <c r="H27" s="95"/>
      <c r="I27" s="95"/>
      <c r="J27" s="95"/>
      <c r="K27" s="95"/>
      <c r="L27" s="95"/>
      <c r="M27" s="95"/>
      <c r="N27" s="150">
        <f>SUM(Betalning_ur_kassa_tabell_3[[#This Row],[Period 1]:[Period 12]])</f>
        <v>0</v>
      </c>
      <c r="O27" s="56" t="s">
        <v>19</v>
      </c>
      <c r="P27" s="5"/>
      <c r="Q27" s="5"/>
      <c r="R27" s="5"/>
    </row>
    <row r="28" spans="1:388" ht="20.100000000000001" customHeight="1" x14ac:dyDescent="0.25">
      <c r="A28" s="40" t="s">
        <v>242</v>
      </c>
      <c r="B28" s="151"/>
      <c r="C28" s="151"/>
      <c r="D28" s="151"/>
      <c r="E28" s="151"/>
      <c r="F28" s="151"/>
      <c r="G28" s="151"/>
      <c r="H28" s="151"/>
      <c r="I28" s="151"/>
      <c r="J28" s="151"/>
      <c r="K28" s="151"/>
      <c r="L28" s="151"/>
      <c r="M28" s="151"/>
      <c r="N28" s="152">
        <f>SUM(Betalning_ur_kassa_tabell_3[[#This Row],[Period 1]:[Period 12]])</f>
        <v>0</v>
      </c>
      <c r="O28" s="56" t="s">
        <v>19</v>
      </c>
      <c r="P28" s="5"/>
      <c r="Q28" s="5"/>
      <c r="R28" s="5"/>
    </row>
    <row r="29" spans="1:388" ht="20.100000000000001" customHeight="1" x14ac:dyDescent="0.25">
      <c r="A29" s="41" t="s">
        <v>144</v>
      </c>
      <c r="B29" s="153"/>
      <c r="C29" s="153"/>
      <c r="D29" s="153"/>
      <c r="E29" s="153"/>
      <c r="F29" s="153"/>
      <c r="G29" s="153"/>
      <c r="H29" s="153"/>
      <c r="I29" s="153"/>
      <c r="J29" s="153"/>
      <c r="K29" s="153"/>
      <c r="L29" s="153"/>
      <c r="M29" s="153"/>
      <c r="N29" s="154">
        <f>SUM(Betalning_ur_kassa_tabell_3[[#This Row],[Period 1]:[Period 12]])</f>
        <v>0</v>
      </c>
      <c r="O29" s="56" t="s">
        <v>19</v>
      </c>
      <c r="P29" s="5"/>
      <c r="Q29" s="5"/>
      <c r="R29" s="5"/>
    </row>
    <row r="30" spans="1:388" ht="20.100000000000001" customHeight="1" x14ac:dyDescent="0.25">
      <c r="A30" s="18" t="s">
        <v>243</v>
      </c>
      <c r="B30" s="95"/>
      <c r="C30" s="95"/>
      <c r="D30" s="95"/>
      <c r="E30" s="95"/>
      <c r="F30" s="95"/>
      <c r="G30" s="95"/>
      <c r="H30" s="95"/>
      <c r="I30" s="95"/>
      <c r="J30" s="95"/>
      <c r="K30" s="95"/>
      <c r="L30" s="95"/>
      <c r="M30" s="95"/>
      <c r="N30" s="150">
        <f>SUM(Betalning_ur_kassa_tabell_3[[#This Row],[Period 1]:[Period 12]])</f>
        <v>0</v>
      </c>
      <c r="O30" s="56" t="s">
        <v>19</v>
      </c>
      <c r="P30" s="5"/>
      <c r="Q30" s="5"/>
      <c r="R30" s="5"/>
    </row>
    <row r="31" spans="1:388" ht="20.100000000000001" customHeight="1" thickBot="1" x14ac:dyDescent="0.3">
      <c r="A31" s="18" t="s">
        <v>243</v>
      </c>
      <c r="B31" s="95"/>
      <c r="C31" s="95"/>
      <c r="D31" s="95"/>
      <c r="E31" s="95"/>
      <c r="F31" s="95"/>
      <c r="G31" s="95"/>
      <c r="H31" s="95"/>
      <c r="I31" s="95"/>
      <c r="J31" s="95"/>
      <c r="K31" s="95"/>
      <c r="L31" s="95"/>
      <c r="M31" s="95"/>
      <c r="N31" s="150">
        <f>SUM(Betalning_ur_kassa_tabell_3[[#This Row],[Period 1]:[Period 12]])</f>
        <v>0</v>
      </c>
      <c r="O31" s="56" t="s">
        <v>19</v>
      </c>
      <c r="P31" s="5"/>
      <c r="Q31" s="5"/>
      <c r="R31" s="5"/>
    </row>
    <row r="32" spans="1:388" ht="30" customHeight="1" x14ac:dyDescent="0.25">
      <c r="A32" s="83" t="s">
        <v>245</v>
      </c>
      <c r="B32" s="155">
        <f>SUM(Betalning_ur_kassa_tabell_3[Period 1],B19,B21)</f>
        <v>0</v>
      </c>
      <c r="C32" s="155">
        <f>SUM(Betalning_ur_kassa_tabell_3[Period 2],C19,C21)</f>
        <v>0</v>
      </c>
      <c r="D32" s="155">
        <f>SUM(Betalning_ur_kassa_tabell_3[Period 3],D19,D21)</f>
        <v>0</v>
      </c>
      <c r="E32" s="155">
        <f>SUM(Betalning_ur_kassa_tabell_3[Period 4],E19,E21)</f>
        <v>0</v>
      </c>
      <c r="F32" s="155">
        <f>SUM(Betalning_ur_kassa_tabell_3[Period 5],F19,F21)</f>
        <v>0</v>
      </c>
      <c r="G32" s="155">
        <f>SUM(Betalning_ur_kassa_tabell_3[Period 6],G19,G21)</f>
        <v>0</v>
      </c>
      <c r="H32" s="155">
        <f>SUM(Betalning_ur_kassa_tabell_3[Period 7],H19,H21)</f>
        <v>0</v>
      </c>
      <c r="I32" s="155">
        <f>SUM(Betalning_ur_kassa_tabell_3[Period 8],I19,I21)</f>
        <v>0</v>
      </c>
      <c r="J32" s="155">
        <f>SUM(Betalning_ur_kassa_tabell_3[Period 9],J19,J21)</f>
        <v>0</v>
      </c>
      <c r="K32" s="155">
        <f>SUM(Betalning_ur_kassa_tabell_3[Period 10],K19,K21)</f>
        <v>0</v>
      </c>
      <c r="L32" s="155">
        <f>SUM(Betalning_ur_kassa_tabell_3[Period 11],L19,L21)</f>
        <v>0</v>
      </c>
      <c r="M32" s="155">
        <f>SUM(Betalning_ur_kassa_tabell_3[Period 12],M19,M21)</f>
        <v>0</v>
      </c>
      <c r="N32" s="155">
        <f>SUM(Betalning_ur_kassa_tabell_3[[#Totals],[Period 1]:[Period 12]])</f>
        <v>0</v>
      </c>
      <c r="O32" s="56" t="s">
        <v>19</v>
      </c>
      <c r="P32" s="5"/>
      <c r="Q32" s="5"/>
      <c r="R32" s="5"/>
    </row>
    <row r="33" spans="1:18" ht="30" customHeight="1" x14ac:dyDescent="0.25">
      <c r="A33" s="17" t="s">
        <v>246</v>
      </c>
      <c r="B33" s="26" t="s">
        <v>7</v>
      </c>
      <c r="C33" s="26" t="s">
        <v>8</v>
      </c>
      <c r="D33" s="26" t="s">
        <v>9</v>
      </c>
      <c r="E33" s="26" t="s">
        <v>10</v>
      </c>
      <c r="F33" s="26" t="s">
        <v>11</v>
      </c>
      <c r="G33" s="26" t="s">
        <v>12</v>
      </c>
      <c r="H33" s="26" t="s">
        <v>13</v>
      </c>
      <c r="I33" s="26" t="s">
        <v>14</v>
      </c>
      <c r="J33" s="26" t="s">
        <v>15</v>
      </c>
      <c r="K33" s="26" t="s">
        <v>16</v>
      </c>
      <c r="L33" s="26" t="s">
        <v>17</v>
      </c>
      <c r="M33" s="26" t="s">
        <v>18</v>
      </c>
      <c r="N33" s="27" t="s">
        <v>121</v>
      </c>
      <c r="O33" s="56" t="s">
        <v>19</v>
      </c>
      <c r="P33" s="5"/>
      <c r="Q33" s="5"/>
      <c r="R33" s="5"/>
    </row>
    <row r="34" spans="1:18" ht="20.100000000000001" customHeight="1" x14ac:dyDescent="0.25">
      <c r="A34" s="18" t="s">
        <v>247</v>
      </c>
      <c r="B34" s="95"/>
      <c r="C34" s="95"/>
      <c r="D34" s="95"/>
      <c r="E34" s="95"/>
      <c r="F34" s="95"/>
      <c r="G34" s="95"/>
      <c r="H34" s="95"/>
      <c r="I34" s="95"/>
      <c r="J34" s="95"/>
      <c r="K34" s="95"/>
      <c r="L34" s="95"/>
      <c r="M34" s="156"/>
      <c r="N34" s="150">
        <f>SUM(Finansierings_tabell_3[[#This Row],[Period 1]:[Period 12]])</f>
        <v>0</v>
      </c>
      <c r="O34" s="56" t="s">
        <v>19</v>
      </c>
      <c r="P34" s="5"/>
      <c r="Q34" s="5"/>
      <c r="R34" s="5"/>
    </row>
    <row r="35" spans="1:18" ht="20.100000000000001" customHeight="1" x14ac:dyDescent="0.25">
      <c r="A35" s="18" t="s">
        <v>248</v>
      </c>
      <c r="B35" s="95"/>
      <c r="C35" s="95"/>
      <c r="D35" s="95"/>
      <c r="E35" s="95"/>
      <c r="F35" s="95"/>
      <c r="G35" s="95"/>
      <c r="H35" s="95"/>
      <c r="I35" s="95"/>
      <c r="J35" s="95"/>
      <c r="K35" s="95"/>
      <c r="L35" s="95"/>
      <c r="M35" s="95"/>
      <c r="N35" s="150">
        <f>SUM(Finansierings_tabell_3[[#This Row],[Period 1]:[Period 12]])</f>
        <v>0</v>
      </c>
      <c r="O35" s="56" t="s">
        <v>19</v>
      </c>
      <c r="P35" s="5"/>
      <c r="Q35" s="5"/>
      <c r="R35" s="5"/>
    </row>
    <row r="36" spans="1:18" ht="20.100000000000001" customHeight="1" x14ac:dyDescent="0.25">
      <c r="A36" s="40" t="s">
        <v>249</v>
      </c>
      <c r="B36" s="151"/>
      <c r="C36" s="151"/>
      <c r="D36" s="151"/>
      <c r="E36" s="151"/>
      <c r="F36" s="151"/>
      <c r="G36" s="151"/>
      <c r="H36" s="151"/>
      <c r="I36" s="151"/>
      <c r="J36" s="151"/>
      <c r="K36" s="151"/>
      <c r="L36" s="151"/>
      <c r="M36" s="151"/>
      <c r="N36" s="152">
        <f>SUM(Finansierings_tabell_3[[#This Row],[Period 1]:[Period 12]])</f>
        <v>0</v>
      </c>
      <c r="O36" s="56" t="s">
        <v>19</v>
      </c>
      <c r="P36" s="5"/>
      <c r="Q36" s="5"/>
      <c r="R36" s="5"/>
    </row>
    <row r="37" spans="1:18" ht="20.100000000000001" customHeight="1" x14ac:dyDescent="0.25">
      <c r="A37" s="41" t="s">
        <v>250</v>
      </c>
      <c r="B37" s="153"/>
      <c r="C37" s="153"/>
      <c r="D37" s="153"/>
      <c r="E37" s="153"/>
      <c r="F37" s="153"/>
      <c r="G37" s="153"/>
      <c r="H37" s="153"/>
      <c r="I37" s="153"/>
      <c r="J37" s="153"/>
      <c r="K37" s="153"/>
      <c r="L37" s="153"/>
      <c r="M37" s="153"/>
      <c r="N37" s="154">
        <f>SUM(Finansierings_tabell_3[[#This Row],[Period 1]:[Period 12]])</f>
        <v>0</v>
      </c>
      <c r="O37" s="56" t="s">
        <v>19</v>
      </c>
      <c r="P37" s="5"/>
      <c r="Q37" s="5"/>
      <c r="R37" s="5"/>
    </row>
    <row r="38" spans="1:18" ht="20.100000000000001" customHeight="1" x14ac:dyDescent="0.25">
      <c r="A38" s="18" t="s">
        <v>251</v>
      </c>
      <c r="B38" s="95"/>
      <c r="C38" s="95"/>
      <c r="D38" s="95"/>
      <c r="E38" s="95"/>
      <c r="F38" s="95"/>
      <c r="G38" s="95"/>
      <c r="H38" s="95"/>
      <c r="I38" s="95"/>
      <c r="J38" s="95"/>
      <c r="K38" s="95"/>
      <c r="L38" s="95"/>
      <c r="M38" s="95"/>
      <c r="N38" s="150">
        <f>SUM(Finansierings_tabell_3[[#This Row],[Period 1]:[Period 12]])</f>
        <v>0</v>
      </c>
      <c r="O38" s="56" t="s">
        <v>19</v>
      </c>
      <c r="P38" s="5"/>
      <c r="Q38" s="5"/>
      <c r="R38" s="5"/>
    </row>
    <row r="39" spans="1:18" ht="20.100000000000001" customHeight="1" thickBot="1" x14ac:dyDescent="0.3">
      <c r="A39" s="40" t="s">
        <v>252</v>
      </c>
      <c r="B39" s="151"/>
      <c r="C39" s="151"/>
      <c r="D39" s="151"/>
      <c r="E39" s="151"/>
      <c r="F39" s="151"/>
      <c r="G39" s="151"/>
      <c r="H39" s="151"/>
      <c r="I39" s="151"/>
      <c r="J39" s="151"/>
      <c r="K39" s="151"/>
      <c r="L39" s="151"/>
      <c r="M39" s="151"/>
      <c r="N39" s="152">
        <f>SUM(Finansierings_tabell_3[[#This Row],[Period 1]:[Period 12]])</f>
        <v>0</v>
      </c>
      <c r="O39" s="56" t="s">
        <v>19</v>
      </c>
      <c r="P39" s="5"/>
      <c r="Q39" s="5"/>
      <c r="R39" s="5"/>
    </row>
    <row r="40" spans="1:18" ht="30" customHeight="1" x14ac:dyDescent="0.25">
      <c r="A40" s="165" t="s">
        <v>253</v>
      </c>
      <c r="B40" s="166">
        <f t="shared" ref="B40:M40" si="5">SUM(-B34,B35:B36,-B37,B38:B39)</f>
        <v>0</v>
      </c>
      <c r="C40" s="166">
        <f t="shared" si="5"/>
        <v>0</v>
      </c>
      <c r="D40" s="166">
        <f t="shared" si="5"/>
        <v>0</v>
      </c>
      <c r="E40" s="166">
        <f t="shared" si="5"/>
        <v>0</v>
      </c>
      <c r="F40" s="166">
        <f t="shared" si="5"/>
        <v>0</v>
      </c>
      <c r="G40" s="166">
        <f t="shared" si="5"/>
        <v>0</v>
      </c>
      <c r="H40" s="166">
        <f t="shared" si="5"/>
        <v>0</v>
      </c>
      <c r="I40" s="166">
        <f t="shared" si="5"/>
        <v>0</v>
      </c>
      <c r="J40" s="166">
        <f t="shared" si="5"/>
        <v>0</v>
      </c>
      <c r="K40" s="166">
        <f t="shared" si="5"/>
        <v>0</v>
      </c>
      <c r="L40" s="166">
        <f t="shared" si="5"/>
        <v>0</v>
      </c>
      <c r="M40" s="166">
        <f t="shared" si="5"/>
        <v>0</v>
      </c>
      <c r="N40" s="166">
        <f>SUM(Finansierings_tabell_3[[#Totals],[Period 1]:[Period 12]])</f>
        <v>0</v>
      </c>
      <c r="O40" s="56" t="s">
        <v>19</v>
      </c>
      <c r="P40" s="5"/>
      <c r="Q40" s="5"/>
      <c r="R40" s="5"/>
    </row>
    <row r="41" spans="1:18" ht="30" customHeight="1" x14ac:dyDescent="0.25">
      <c r="A41" s="167" t="s">
        <v>254</v>
      </c>
      <c r="B41" s="168" t="s">
        <v>7</v>
      </c>
      <c r="C41" s="168" t="s">
        <v>8</v>
      </c>
      <c r="D41" s="168" t="s">
        <v>9</v>
      </c>
      <c r="E41" s="168" t="s">
        <v>10</v>
      </c>
      <c r="F41" s="168" t="s">
        <v>11</v>
      </c>
      <c r="G41" s="168" t="s">
        <v>12</v>
      </c>
      <c r="H41" s="168" t="s">
        <v>13</v>
      </c>
      <c r="I41" s="168" t="s">
        <v>14</v>
      </c>
      <c r="J41" s="168" t="s">
        <v>15</v>
      </c>
      <c r="K41" s="168" t="s">
        <v>16</v>
      </c>
      <c r="L41" s="168" t="s">
        <v>17</v>
      </c>
      <c r="M41" s="168" t="s">
        <v>18</v>
      </c>
      <c r="N41" s="168" t="s">
        <v>121</v>
      </c>
      <c r="O41" s="56" t="s">
        <v>19</v>
      </c>
      <c r="P41" s="5"/>
      <c r="Q41" s="5"/>
      <c r="R41" s="5"/>
    </row>
    <row r="42" spans="1:18" ht="50.1" customHeight="1" x14ac:dyDescent="0.25">
      <c r="A42" s="201" t="s">
        <v>255</v>
      </c>
      <c r="B42" s="132">
        <f>SUM(Startkassa_och_intäkter_tabell_3[Period 1],-Betalning_ur_kassa_tabell_3[[#Totals],[Period 1]],Finansierings_tabell_3[[#Totals],[Period 1]])</f>
        <v>0</v>
      </c>
      <c r="C42" s="132">
        <f>SUM(Startkassa_och_intäkter_tabell_3[Period 2],-Betalning_ur_kassa_tabell_3[[#Totals],[Period 2]],Finansierings_tabell_3[[#Totals],[Period 2]])</f>
        <v>0</v>
      </c>
      <c r="D42" s="132">
        <f>SUM(Startkassa_och_intäkter_tabell_3[Period 3],-Betalning_ur_kassa_tabell_3[[#Totals],[Period 3]],Finansierings_tabell_3[[#Totals],[Period 3]])</f>
        <v>0</v>
      </c>
      <c r="E42" s="132">
        <f>SUM(Startkassa_och_intäkter_tabell_3[Period 4],-Betalning_ur_kassa_tabell_3[[#Totals],[Period 4]],Finansierings_tabell_3[[#Totals],[Period 4]])</f>
        <v>0</v>
      </c>
      <c r="F42" s="132">
        <f>SUM(Startkassa_och_intäkter_tabell_3[Period 5],-Betalning_ur_kassa_tabell_3[[#Totals],[Period 5]],Finansierings_tabell_3[[#Totals],[Period 5]])</f>
        <v>0</v>
      </c>
      <c r="G42" s="132">
        <f>SUM(Startkassa_och_intäkter_tabell_3[Period 6],-Betalning_ur_kassa_tabell_3[[#Totals],[Period 6]],Finansierings_tabell_3[[#Totals],[Period 6]])</f>
        <v>0</v>
      </c>
      <c r="H42" s="132">
        <f>SUM(Startkassa_och_intäkter_tabell_3[Period 7],-Betalning_ur_kassa_tabell_3[[#Totals],[Period 7]],Finansierings_tabell_3[[#Totals],[Period 7]])</f>
        <v>0</v>
      </c>
      <c r="I42" s="132">
        <f>SUM(Startkassa_och_intäkter_tabell_3[Period 8],-Betalning_ur_kassa_tabell_3[[#Totals],[Period 8]],Finansierings_tabell_3[[#Totals],[Period 8]])</f>
        <v>0</v>
      </c>
      <c r="J42" s="132">
        <f>SUM(Startkassa_och_intäkter_tabell_3[Period 9],-Betalning_ur_kassa_tabell_3[[#Totals],[Period 9]],Finansierings_tabell_3[[#Totals],[Period 9]])</f>
        <v>0</v>
      </c>
      <c r="K42" s="132">
        <f>SUM(Startkassa_och_intäkter_tabell_3[Period 10],-Betalning_ur_kassa_tabell_3[[#Totals],[Period 10]],Finansierings_tabell_3[[#Totals],[Period 10]])</f>
        <v>0</v>
      </c>
      <c r="L42" s="132">
        <f>SUM(Startkassa_och_intäkter_tabell_3[Period 11],-Betalning_ur_kassa_tabell_3[[#Totals],[Period 11]],Finansierings_tabell_3[[#Totals],[Period 11]])</f>
        <v>0</v>
      </c>
      <c r="M42" s="132">
        <f>SUM(Startkassa_och_intäkter_tabell_3[Period 12],-Betalning_ur_kassa_tabell_3[[#Totals],[Period 12]],Finansierings_tabell_3[[#Totals],[Period 12]])</f>
        <v>0</v>
      </c>
      <c r="N42" s="132"/>
      <c r="O42" s="56" t="s">
        <v>19</v>
      </c>
      <c r="P42" s="4"/>
      <c r="Q42" s="4"/>
      <c r="R42" s="4"/>
    </row>
    <row r="43" spans="1:18" ht="30" hidden="1" customHeight="1" x14ac:dyDescent="0.25">
      <c r="A43" s="169" t="s">
        <v>258</v>
      </c>
      <c r="B43" s="163" cm="1">
        <f t="array" ref="B43">SUM(B42,-Startkassa_tabell_3[Period 1])</f>
        <v>0</v>
      </c>
      <c r="C43" s="163">
        <f>SUM(C42,-B42)</f>
        <v>0</v>
      </c>
      <c r="D43" s="163">
        <f t="shared" ref="D43:M43" si="6">SUM(D42,-C42)</f>
        <v>0</v>
      </c>
      <c r="E43" s="163">
        <f t="shared" si="6"/>
        <v>0</v>
      </c>
      <c r="F43" s="163">
        <f t="shared" si="6"/>
        <v>0</v>
      </c>
      <c r="G43" s="163">
        <f t="shared" si="6"/>
        <v>0</v>
      </c>
      <c r="H43" s="163">
        <f t="shared" si="6"/>
        <v>0</v>
      </c>
      <c r="I43" s="163">
        <f t="shared" si="6"/>
        <v>0</v>
      </c>
      <c r="J43" s="163">
        <f t="shared" si="6"/>
        <v>0</v>
      </c>
      <c r="K43" s="163">
        <f t="shared" si="6"/>
        <v>0</v>
      </c>
      <c r="L43" s="163">
        <f t="shared" si="6"/>
        <v>0</v>
      </c>
      <c r="M43" s="163">
        <f t="shared" si="6"/>
        <v>0</v>
      </c>
      <c r="N43" s="164">
        <f>SUM(Betalningsberedskap_tabell_3[[#This Row],[Period 1]:[Period 12]])</f>
        <v>0</v>
      </c>
      <c r="O43" s="170" t="s">
        <v>19</v>
      </c>
      <c r="P43" s="5"/>
      <c r="Q43" s="5"/>
      <c r="R43" s="5"/>
    </row>
    <row r="44" spans="1:18" ht="30" customHeight="1" x14ac:dyDescent="0.25">
      <c r="A44" s="171" t="s">
        <v>256</v>
      </c>
      <c r="B44" s="39" t="s">
        <v>4</v>
      </c>
      <c r="C44" s="39" t="s">
        <v>4</v>
      </c>
      <c r="D44" s="39" t="s">
        <v>4</v>
      </c>
      <c r="E44" s="39" t="s">
        <v>4</v>
      </c>
      <c r="F44" s="39" t="s">
        <v>4</v>
      </c>
      <c r="G44" s="39" t="s">
        <v>4</v>
      </c>
      <c r="H44" s="39" t="s">
        <v>4</v>
      </c>
      <c r="I44" s="39" t="s">
        <v>4</v>
      </c>
      <c r="J44" s="39" t="s">
        <v>4</v>
      </c>
      <c r="K44" s="39" t="s">
        <v>4</v>
      </c>
      <c r="L44" s="39" t="s">
        <v>4</v>
      </c>
      <c r="M44" s="39" t="s">
        <v>4</v>
      </c>
      <c r="N44" s="39" t="s">
        <v>4</v>
      </c>
      <c r="O44" s="56" t="s">
        <v>19</v>
      </c>
      <c r="P44" s="5"/>
      <c r="Q44" s="5"/>
      <c r="R44" s="5"/>
    </row>
    <row r="45" spans="1:18" ht="180" customHeight="1" x14ac:dyDescent="0.25">
      <c r="A45" s="196" t="s">
        <v>271</v>
      </c>
      <c r="B45" s="39" t="s">
        <v>4</v>
      </c>
      <c r="C45" s="39" t="s">
        <v>4</v>
      </c>
      <c r="D45" s="39" t="s">
        <v>4</v>
      </c>
      <c r="E45" s="39" t="s">
        <v>4</v>
      </c>
      <c r="F45" s="39" t="s">
        <v>4</v>
      </c>
      <c r="G45" s="39" t="s">
        <v>4</v>
      </c>
      <c r="H45" s="39" t="s">
        <v>4</v>
      </c>
      <c r="I45" s="39" t="s">
        <v>4</v>
      </c>
      <c r="J45" s="39" t="s">
        <v>4</v>
      </c>
      <c r="K45" s="39" t="s">
        <v>4</v>
      </c>
      <c r="L45" s="39" t="s">
        <v>4</v>
      </c>
      <c r="M45" s="39" t="s">
        <v>4</v>
      </c>
      <c r="N45" s="39" t="s">
        <v>4</v>
      </c>
      <c r="O45" s="56" t="s">
        <v>19</v>
      </c>
      <c r="P45" s="4"/>
    </row>
    <row r="46" spans="1:18" ht="18" customHeight="1" x14ac:dyDescent="0.25">
      <c r="A46" s="174" t="s">
        <v>3</v>
      </c>
      <c r="B46" s="39" t="s">
        <v>4</v>
      </c>
      <c r="C46" s="39" t="s">
        <v>4</v>
      </c>
      <c r="D46" s="39" t="s">
        <v>4</v>
      </c>
      <c r="E46" s="39" t="s">
        <v>4</v>
      </c>
      <c r="F46" s="39" t="s">
        <v>4</v>
      </c>
      <c r="G46" s="39" t="s">
        <v>4</v>
      </c>
      <c r="H46" s="39" t="s">
        <v>4</v>
      </c>
      <c r="I46" s="39" t="s">
        <v>4</v>
      </c>
      <c r="J46" s="39" t="s">
        <v>4</v>
      </c>
      <c r="K46" s="39" t="s">
        <v>4</v>
      </c>
      <c r="L46" s="39" t="s">
        <v>4</v>
      </c>
      <c r="M46" s="39" t="s">
        <v>4</v>
      </c>
      <c r="N46" s="39" t="s">
        <v>4</v>
      </c>
      <c r="O46" s="56" t="s">
        <v>19</v>
      </c>
      <c r="P46" s="5"/>
      <c r="Q46" s="5"/>
      <c r="R46" s="5"/>
    </row>
    <row r="47" spans="1:18" ht="3.95" customHeight="1" x14ac:dyDescent="0.25">
      <c r="A47" s="56" t="s">
        <v>20</v>
      </c>
      <c r="B47" s="56" t="s">
        <v>20</v>
      </c>
      <c r="C47" s="56" t="s">
        <v>20</v>
      </c>
      <c r="D47" s="56" t="s">
        <v>20</v>
      </c>
      <c r="E47" s="56" t="s">
        <v>20</v>
      </c>
      <c r="F47" s="56" t="s">
        <v>20</v>
      </c>
      <c r="G47" s="56" t="s">
        <v>20</v>
      </c>
      <c r="H47" s="56" t="s">
        <v>20</v>
      </c>
      <c r="I47" s="56" t="s">
        <v>20</v>
      </c>
      <c r="J47" s="56" t="s">
        <v>20</v>
      </c>
      <c r="K47" s="56" t="s">
        <v>20</v>
      </c>
      <c r="L47" s="56" t="s">
        <v>20</v>
      </c>
      <c r="M47" s="56" t="s">
        <v>20</v>
      </c>
      <c r="N47" s="56" t="s">
        <v>20</v>
      </c>
      <c r="O47" s="56" t="s">
        <v>19</v>
      </c>
    </row>
  </sheetData>
  <sheetProtection sheet="1" objects="1" scenarios="1"/>
  <conditionalFormatting sqref="B9:N9 B17:N17 B42:N43">
    <cfRule type="expression" dxfId="0" priority="2" stopIfTrue="1">
      <formula>B9&lt;0</formula>
    </cfRule>
  </conditionalFormatting>
  <pageMargins left="0.7" right="0.7" top="0.75" bottom="0.75" header="0.3" footer="0.3"/>
  <pageSetup paperSize="9" orientation="portrait" horizontalDpi="0" verticalDpi="0"/>
  <drawing r:id="rId1"/>
  <legacyDrawing r:id="rId2"/>
  <tableParts count="8">
    <tablePart r:id="rId3"/>
    <tablePart r:id="rId4"/>
    <tablePart r:id="rId5"/>
    <tablePart r:id="rId6"/>
    <tablePart r:id="rId7"/>
    <tablePart r:id="rId8"/>
    <tablePart r:id="rId9"/>
    <tablePart r:id="rId10"/>
  </tableParts>
  <extLst>
    <ext xmlns:x14="http://schemas.microsoft.com/office/spreadsheetml/2009/9/main" uri="{78C0D931-6437-407d-A8EE-F0AAD7539E65}">
      <x14:conditionalFormattings>
        <x14:conditionalFormatting xmlns:xm="http://schemas.microsoft.com/office/excel/2006/main">
          <x14:cfRule type="iconSet" priority="14" id="{C4D20626-89F3-5543-8C66-D57BDE7F5948}">
            <x14:iconSet iconSet="3Flags" custom="1">
              <x14:cfvo type="percent">
                <xm:f>0</xm:f>
              </x14:cfvo>
              <x14:cfvo type="num">
                <xm:f>0</xm:f>
              </x14:cfvo>
              <x14:cfvo type="num">
                <xm:f>1</xm:f>
              </x14:cfvo>
              <x14:cfIcon iconSet="3Flags" iconId="0"/>
              <x14:cfIcon iconSet="NoIcons" iconId="0"/>
              <x14:cfIcon iconSet="NoIcons" iconId="0"/>
            </x14:iconSet>
          </x14:cfRule>
          <xm:sqref>B17:N17 B9:N9</xm:sqref>
        </x14:conditionalFormatting>
        <x14:conditionalFormatting xmlns:xm="http://schemas.microsoft.com/office/excel/2006/main">
          <x14:cfRule type="iconSet" priority="6" id="{DC312491-6D1A-ED4A-8764-98A02B481B87}">
            <x14:iconSet iconSet="3Flags" custom="1">
              <x14:cfvo type="percent">
                <xm:f>0</xm:f>
              </x14:cfvo>
              <x14:cfvo type="num" gte="0">
                <xm:f>0</xm:f>
              </x14:cfvo>
              <x14:cfvo type="num" gte="0">
                <xm:f>1</xm:f>
              </x14:cfvo>
              <x14:cfIcon iconSet="3Flags" iconId="0"/>
              <x14:cfIcon iconSet="NoIcons" iconId="0"/>
              <x14:cfIcon iconSet="NoIcons" iconId="0"/>
            </x14:iconSet>
          </x14:cfRule>
          <xm:sqref>B42:N43</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6</vt:i4>
      </vt:variant>
      <vt:variant>
        <vt:lpstr>Nimetyt alueet</vt:lpstr>
      </vt:variant>
      <vt:variant>
        <vt:i4>14</vt:i4>
      </vt:variant>
    </vt:vector>
  </HeadingPairs>
  <TitlesOfParts>
    <vt:vector size="20" baseType="lpstr">
      <vt:lpstr>Finansieringskalkyl</vt:lpstr>
      <vt:lpstr>Lönsamhetskalkyl</vt:lpstr>
      <vt:lpstr>Försäljningskalkyl</vt:lpstr>
      <vt:lpstr>Kassaflödeskalkyl1å</vt:lpstr>
      <vt:lpstr>Kassaflödeskalkyl2å</vt:lpstr>
      <vt:lpstr>Kassaflödeskalkyl3å</vt:lpstr>
      <vt:lpstr>Finansieringskalkyl!Företagsnamn</vt:lpstr>
      <vt:lpstr>Kassaflödeskalkyl1å!Mervärdesskatteprocent</vt:lpstr>
      <vt:lpstr>Kassaflödeskalkyl2å!Mervärdesskatteprocent</vt:lpstr>
      <vt:lpstr>Kassaflödeskalkyl3å!Mervärdesskatteprocent</vt:lpstr>
      <vt:lpstr>Försäljningskalkyl!Produkt_Tjänst_1_namn</vt:lpstr>
      <vt:lpstr>Försäljningskalkyl!Produkt_Tjänst_2_namn</vt:lpstr>
      <vt:lpstr>Försäljningskalkyl!Produkt_Tjänst_3_namn</vt:lpstr>
      <vt:lpstr>Försäljningskalkyl!Produkt_Tjänst_4_namn</vt:lpstr>
      <vt:lpstr>Försäljningskalkyl!Produkt_Tjänst_5_namn</vt:lpstr>
      <vt:lpstr>Försäljningskalkyl!Produkt_Tjänst_6_namn</vt:lpstr>
      <vt:lpstr>Kassaflödeskalkyl1å!Räkenskapsperioden_börjar</vt:lpstr>
      <vt:lpstr>Kassaflödeskalkyl2å!Räkenskapsperioden_börjar</vt:lpstr>
      <vt:lpstr>Kassaflödeskalkyl3å!Räkenskapsperioden_börjar</vt:lpstr>
      <vt:lpstr>Lönsamhetskalkyl!Skatteadministration_webbplats_skattesats_kalkylator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Lasse Ilmonen</dc:creator>
  <cp:lastModifiedBy>Babitzin Valentin</cp:lastModifiedBy>
  <dcterms:created xsi:type="dcterms:W3CDTF">2023-11-22T13:26:55Z</dcterms:created>
  <dcterms:modified xsi:type="dcterms:W3CDTF">2026-01-14T11:53:33Z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35e945f-875f-47b7-87fa-10b3524d17f5_Enabled">
    <vt:lpwstr>true</vt:lpwstr>
  </property>
  <property fmtid="{D5CDD505-2E9C-101B-9397-08002B2CF9AE}" pid="3" name="MSIP_Label_f35e945f-875f-47b7-87fa-10b3524d17f5_SetDate">
    <vt:lpwstr>2026-01-14T11:48:38Z</vt:lpwstr>
  </property>
  <property fmtid="{D5CDD505-2E9C-101B-9397-08002B2CF9AE}" pid="4" name="MSIP_Label_f35e945f-875f-47b7-87fa-10b3524d17f5_Method">
    <vt:lpwstr>Standard</vt:lpwstr>
  </property>
  <property fmtid="{D5CDD505-2E9C-101B-9397-08002B2CF9AE}" pid="5" name="MSIP_Label_f35e945f-875f-47b7-87fa-10b3524d17f5_Name">
    <vt:lpwstr>Julkinen (harkinnanvaraisesti)</vt:lpwstr>
  </property>
  <property fmtid="{D5CDD505-2E9C-101B-9397-08002B2CF9AE}" pid="6" name="MSIP_Label_f35e945f-875f-47b7-87fa-10b3524d17f5_SiteId">
    <vt:lpwstr>3feb6bc1-d722-4726-966c-5b58b64df752</vt:lpwstr>
  </property>
  <property fmtid="{D5CDD505-2E9C-101B-9397-08002B2CF9AE}" pid="7" name="MSIP_Label_f35e945f-875f-47b7-87fa-10b3524d17f5_ActionId">
    <vt:lpwstr>23add285-5fd7-4f37-9c29-58a305748493</vt:lpwstr>
  </property>
  <property fmtid="{D5CDD505-2E9C-101B-9397-08002B2CF9AE}" pid="8" name="MSIP_Label_f35e945f-875f-47b7-87fa-10b3524d17f5_ContentBits">
    <vt:lpwstr>0</vt:lpwstr>
  </property>
  <property fmtid="{D5CDD505-2E9C-101B-9397-08002B2CF9AE}" pid="9" name="MSIP_Label_f35e945f-875f-47b7-87fa-10b3524d17f5_Tag">
    <vt:lpwstr>10, 3, 0, 1</vt:lpwstr>
  </property>
</Properties>
</file>