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omments3.xml" ContentType="application/vnd.openxmlformats-officedocument.spreadsheetml.comments+xml"/>
  <Override PartName="/xl/drawings/drawing4.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omments4.xml" ContentType="application/vnd.openxmlformats-officedocument.spreadsheetml.comments+xml"/>
  <Override PartName="/xl/drawings/drawing5.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omments5.xml" ContentType="application/vnd.openxmlformats-officedocument.spreadsheetml.comments+xml"/>
  <Override PartName="/xl/drawings/drawing6.xml" ContentType="application/vnd.openxmlformats-officedocument.drawing+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comments6.xml" ContentType="application/vnd.openxmlformats-officedocument.spreadsheetml.comments+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KANSLIAS000002\HOME2$\BABITVA\System\Desktop\Laskelmat 2026 pohjat\"/>
    </mc:Choice>
  </mc:AlternateContent>
  <xr:revisionPtr revIDLastSave="0" documentId="13_ncr:1_{4C324902-2B53-43AF-A5F6-23193F7CF52A}" xr6:coauthVersionLast="47" xr6:coauthVersionMax="47" xr10:uidLastSave="{00000000-0000-0000-0000-000000000000}"/>
  <workbookProtection lockStructure="1"/>
  <bookViews>
    <workbookView xWindow="-120" yWindow="-120" windowWidth="38640" windowHeight="21120" xr2:uid="{C0EF424F-88BF-D34E-8BF7-BD04FDDB8F80}"/>
  </bookViews>
  <sheets>
    <sheet name="Investment calculation" sheetId="1" r:id="rId1"/>
    <sheet name="Profitability calculation" sheetId="2" r:id="rId2"/>
    <sheet name="Monthly sales projection" sheetId="3" r:id="rId3"/>
    <sheet name="Cash flow calculation (Y1)" sheetId="4" r:id="rId4"/>
    <sheet name="Cash flow calculation (Y2)" sheetId="8" r:id="rId5"/>
    <sheet name="Cash flow calculation (Y3)" sheetId="9" r:id="rId6"/>
  </sheets>
  <definedNames>
    <definedName name="Business_name" comment="Write the name of your business here." localSheetId="0">'Investment calculation'!$A$5</definedName>
    <definedName name="Financial_year_start" comment="The financial year start of the first year." localSheetId="3">'Cash flow calculation (Y1)'!$A$7</definedName>
    <definedName name="Financial_year_start" comment="The financial year start of the second year." localSheetId="4">'Cash flow calculation (Y2)'!$A$7</definedName>
    <definedName name="Product_Service_1_name" comment="The name of the first product, service or product group." localSheetId="2">'Monthly sales projection'!$B$3</definedName>
    <definedName name="Product_Service_2_name" comment="The name of the second product, service or product group." localSheetId="2">'Monthly sales projection'!$D$3</definedName>
    <definedName name="Product_Service_3_name" comment="The name of the third product, service or product group." localSheetId="2">'Monthly sales projection'!$F$3</definedName>
    <definedName name="Product_Service_4_name" comment="The name of the fourth product, service or product group." localSheetId="2">'Monthly sales projection'!$H$3</definedName>
    <definedName name="Product_Service_5_name" comment="The name of the fifth product, service or product group." localSheetId="2">'Monthly sales projection'!$J$3</definedName>
    <definedName name="Product_Service_6_name" comment="The name of the sixth product, service or product group." localSheetId="2">'Monthly sales projection'!$L$3</definedName>
    <definedName name="Tax_administration_website_tax_rate_calculator" comment="Click here to calculate your tax rate in more detail using the tax rate calculator on the Tax Administration's website." localSheetId="1">'Profitability calculation'!$A$4</definedName>
    <definedName name="Tilikauden_alku" comment="Kolmannen vuoden tilikauden alun ajankohta." localSheetId="5">'Cash flow calculation (Y3)'!$A$7</definedName>
    <definedName name="Value_added_tax_rate" comment="First year's value added tax rate." localSheetId="3">'Cash flow calculation (Y1)'!$A$5</definedName>
    <definedName name="Value_added_tax_rate" comment="Second year's value added tax rate." localSheetId="4">'Cash flow calculation (Y2)'!$A$5</definedName>
    <definedName name="Value_added_tax_rate" comment="Third year's value added tax rate." localSheetId="5">'Cash flow calculation (Y3)'!$A$5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8" i="3" l="1"/>
  <c r="N9" i="3"/>
  <c r="N12" i="3"/>
  <c r="N13" i="3"/>
  <c r="M7" i="9"/>
  <c r="L7" i="9"/>
  <c r="K7" i="9"/>
  <c r="J7" i="9"/>
  <c r="I7" i="9"/>
  <c r="H7" i="9"/>
  <c r="G7" i="9"/>
  <c r="F7" i="9"/>
  <c r="E7" i="9"/>
  <c r="D7" i="9"/>
  <c r="C7" i="9"/>
  <c r="B7" i="9"/>
  <c r="N7" i="4"/>
  <c r="M7" i="4"/>
  <c r="L7" i="4"/>
  <c r="K7" i="4"/>
  <c r="J7" i="4"/>
  <c r="I7" i="4"/>
  <c r="H7" i="4"/>
  <c r="G7" i="4"/>
  <c r="F7" i="4"/>
  <c r="E7" i="4"/>
  <c r="D7" i="4"/>
  <c r="C7" i="4"/>
  <c r="C7" i="8"/>
  <c r="M7" i="8"/>
  <c r="L7" i="8"/>
  <c r="K7" i="8"/>
  <c r="J7" i="8"/>
  <c r="I7" i="8"/>
  <c r="H7" i="8"/>
  <c r="G7" i="8"/>
  <c r="F7" i="8"/>
  <c r="E7" i="8"/>
  <c r="D7" i="8"/>
  <c r="B7" i="8"/>
  <c r="E40" i="4" l="1"/>
  <c r="E20" i="4"/>
  <c r="N36" i="8" l="1"/>
  <c r="B32" i="4"/>
  <c r="B20" i="4"/>
  <c r="M20" i="9"/>
  <c r="N11" i="8"/>
  <c r="M40" i="8"/>
  <c r="B20" i="8" l="1"/>
  <c r="M20" i="4"/>
  <c r="O19" i="4"/>
  <c r="O11" i="4" l="1"/>
  <c r="O12" i="4"/>
  <c r="O13" i="4"/>
  <c r="M40" i="9" l="1"/>
  <c r="L40" i="9"/>
  <c r="K40" i="9"/>
  <c r="J40" i="9"/>
  <c r="I40" i="9"/>
  <c r="H40" i="9"/>
  <c r="G40" i="9"/>
  <c r="F40" i="9"/>
  <c r="E40" i="9"/>
  <c r="D40" i="9"/>
  <c r="C40" i="9"/>
  <c r="B40" i="9"/>
  <c r="N39" i="9"/>
  <c r="N38" i="9"/>
  <c r="N37" i="9"/>
  <c r="N36" i="9"/>
  <c r="N35" i="9"/>
  <c r="N34" i="9"/>
  <c r="N31" i="9"/>
  <c r="N30" i="9"/>
  <c r="N29" i="9"/>
  <c r="N28" i="9"/>
  <c r="N27" i="9"/>
  <c r="N26" i="9"/>
  <c r="N25" i="9"/>
  <c r="N24" i="9"/>
  <c r="N23" i="9"/>
  <c r="L20" i="9"/>
  <c r="K20" i="9"/>
  <c r="J20" i="9"/>
  <c r="I20" i="9"/>
  <c r="H20" i="9"/>
  <c r="G20" i="9"/>
  <c r="F20" i="9"/>
  <c r="E20" i="9"/>
  <c r="D20" i="9"/>
  <c r="C20" i="9"/>
  <c r="B20" i="9"/>
  <c r="N19" i="9"/>
  <c r="M14" i="9"/>
  <c r="M15" i="9" s="1"/>
  <c r="L14" i="9"/>
  <c r="L15" i="9" s="1"/>
  <c r="K14" i="9"/>
  <c r="K15" i="9" s="1"/>
  <c r="J14" i="9"/>
  <c r="J15" i="9" s="1"/>
  <c r="I14" i="9"/>
  <c r="I15" i="9" s="1"/>
  <c r="H14" i="9"/>
  <c r="H15" i="9" s="1"/>
  <c r="G14" i="9"/>
  <c r="G15" i="9" s="1"/>
  <c r="F14" i="9"/>
  <c r="F15" i="9" s="1"/>
  <c r="E14" i="9"/>
  <c r="E15" i="9" s="1"/>
  <c r="D14" i="9"/>
  <c r="D15" i="9" s="1"/>
  <c r="C14" i="9"/>
  <c r="C15" i="9" s="1"/>
  <c r="B14" i="9"/>
  <c r="N13" i="9"/>
  <c r="N12" i="9"/>
  <c r="N11" i="9"/>
  <c r="N39" i="8"/>
  <c r="N38" i="8"/>
  <c r="N37" i="8"/>
  <c r="N35" i="8"/>
  <c r="N34" i="8"/>
  <c r="N31" i="8"/>
  <c r="N30" i="8"/>
  <c r="N29" i="8"/>
  <c r="N28" i="8"/>
  <c r="N27" i="8"/>
  <c r="N26" i="8"/>
  <c r="N25" i="8"/>
  <c r="N24" i="8"/>
  <c r="N23" i="8"/>
  <c r="N19" i="8"/>
  <c r="N13" i="8"/>
  <c r="N12" i="8"/>
  <c r="L40" i="8"/>
  <c r="K40" i="8"/>
  <c r="J40" i="8"/>
  <c r="I40" i="8"/>
  <c r="H40" i="8"/>
  <c r="G40" i="8"/>
  <c r="F40" i="8"/>
  <c r="E40" i="8"/>
  <c r="D40" i="8"/>
  <c r="C40" i="8"/>
  <c r="B40" i="8"/>
  <c r="M20" i="8"/>
  <c r="L20" i="8"/>
  <c r="K20" i="8"/>
  <c r="J20" i="8"/>
  <c r="I20" i="8"/>
  <c r="H20" i="8"/>
  <c r="G20" i="8"/>
  <c r="F20" i="8"/>
  <c r="E20" i="8"/>
  <c r="D20" i="8"/>
  <c r="C20" i="8"/>
  <c r="M14" i="8"/>
  <c r="M15" i="8" s="1"/>
  <c r="L14" i="8"/>
  <c r="L15" i="8" s="1"/>
  <c r="K14" i="8"/>
  <c r="K15" i="8" s="1"/>
  <c r="J14" i="8"/>
  <c r="J15" i="8" s="1"/>
  <c r="I14" i="8"/>
  <c r="I15" i="8" s="1"/>
  <c r="H14" i="8"/>
  <c r="H15" i="8" s="1"/>
  <c r="G14" i="8"/>
  <c r="G15" i="8" s="1"/>
  <c r="F14" i="8"/>
  <c r="F15" i="8" s="1"/>
  <c r="E14" i="8"/>
  <c r="E15" i="8" s="1"/>
  <c r="D14" i="8"/>
  <c r="D15" i="8" s="1"/>
  <c r="C14" i="8"/>
  <c r="B14" i="8"/>
  <c r="O23" i="4"/>
  <c r="C32" i="4"/>
  <c r="C20" i="4"/>
  <c r="D20" i="4"/>
  <c r="F20" i="4"/>
  <c r="G20" i="4"/>
  <c r="H20" i="4"/>
  <c r="I20" i="4"/>
  <c r="J20" i="4"/>
  <c r="K20" i="4"/>
  <c r="L20" i="4"/>
  <c r="N20" i="4"/>
  <c r="N14" i="4"/>
  <c r="N15" i="4" s="1"/>
  <c r="C14" i="4"/>
  <c r="D14" i="4"/>
  <c r="E14" i="4"/>
  <c r="E15" i="4" s="1"/>
  <c r="F14" i="4"/>
  <c r="F15" i="4" s="1"/>
  <c r="G14" i="4"/>
  <c r="G15" i="4" s="1"/>
  <c r="H14" i="4"/>
  <c r="H15" i="4" s="1"/>
  <c r="I14" i="4"/>
  <c r="I15" i="4" s="1"/>
  <c r="J14" i="4"/>
  <c r="J15" i="4" s="1"/>
  <c r="K14" i="4"/>
  <c r="K15" i="4" s="1"/>
  <c r="L14" i="4"/>
  <c r="L15" i="4" s="1"/>
  <c r="M14" i="4"/>
  <c r="M15" i="4" s="1"/>
  <c r="B14" i="4"/>
  <c r="B15" i="4" s="1"/>
  <c r="N14" i="8" l="1"/>
  <c r="B15" i="8"/>
  <c r="D21" i="8" s="1"/>
  <c r="D32" i="8" s="1"/>
  <c r="M21" i="4"/>
  <c r="M32" i="4" s="1"/>
  <c r="N40" i="9"/>
  <c r="M21" i="9"/>
  <c r="M32" i="9" s="1"/>
  <c r="B17" i="4"/>
  <c r="D21" i="4"/>
  <c r="N40" i="8"/>
  <c r="F21" i="9"/>
  <c r="F32" i="9" s="1"/>
  <c r="N21" i="4"/>
  <c r="N32" i="4" s="1"/>
  <c r="C21" i="9"/>
  <c r="C32" i="9" s="1"/>
  <c r="B21" i="9"/>
  <c r="B32" i="9" s="1"/>
  <c r="C15" i="8"/>
  <c r="B21" i="8"/>
  <c r="B32" i="8" s="1"/>
  <c r="G21" i="9"/>
  <c r="G32" i="9" s="1"/>
  <c r="H21" i="4"/>
  <c r="H32" i="4" s="1"/>
  <c r="E21" i="9"/>
  <c r="E32" i="9" s="1"/>
  <c r="C21" i="8"/>
  <c r="D15" i="4"/>
  <c r="F21" i="4" s="1"/>
  <c r="F32" i="4" s="1"/>
  <c r="O14" i="4"/>
  <c r="N20" i="8"/>
  <c r="H21" i="9"/>
  <c r="H32" i="9" s="1"/>
  <c r="I21" i="9"/>
  <c r="I32" i="9" s="1"/>
  <c r="J21" i="9"/>
  <c r="J32" i="9" s="1"/>
  <c r="K21" i="9"/>
  <c r="K32" i="9" s="1"/>
  <c r="N20" i="9"/>
  <c r="O20" i="4"/>
  <c r="L21" i="9"/>
  <c r="L32" i="9" s="1"/>
  <c r="N14" i="9"/>
  <c r="B15" i="9"/>
  <c r="H21" i="8"/>
  <c r="H32" i="8" s="1"/>
  <c r="I21" i="8"/>
  <c r="I32" i="8" s="1"/>
  <c r="F21" i="8"/>
  <c r="F32" i="8" s="1"/>
  <c r="K21" i="8"/>
  <c r="K32" i="8" s="1"/>
  <c r="J21" i="8"/>
  <c r="J32" i="8" s="1"/>
  <c r="L21" i="8"/>
  <c r="L32" i="8" s="1"/>
  <c r="M21" i="8"/>
  <c r="M32" i="8" s="1"/>
  <c r="G21" i="8"/>
  <c r="G32" i="8" s="1"/>
  <c r="G21" i="4"/>
  <c r="G32" i="4" s="1"/>
  <c r="K21" i="4"/>
  <c r="K32" i="4" s="1"/>
  <c r="L21" i="4"/>
  <c r="L32" i="4" s="1"/>
  <c r="J21" i="4"/>
  <c r="J32" i="4" s="1"/>
  <c r="I21" i="4"/>
  <c r="I32" i="4" s="1"/>
  <c r="C15" i="4"/>
  <c r="N15" i="8" l="1"/>
  <c r="E21" i="8"/>
  <c r="E32" i="8" s="1"/>
  <c r="E21" i="4"/>
  <c r="E32" i="4" s="1"/>
  <c r="O15" i="4"/>
  <c r="D21" i="9"/>
  <c r="N15" i="9"/>
  <c r="C32" i="8"/>
  <c r="D32" i="4"/>
  <c r="N21" i="8" l="1"/>
  <c r="N32" i="8"/>
  <c r="O21" i="4"/>
  <c r="O32" i="4"/>
  <c r="D32" i="9"/>
  <c r="N21" i="9"/>
  <c r="M6" i="3"/>
  <c r="K6" i="3"/>
  <c r="I6" i="3"/>
  <c r="G6" i="3"/>
  <c r="E6" i="3"/>
  <c r="B14" i="3"/>
  <c r="N14" i="3" s="1"/>
  <c r="O25" i="4"/>
  <c r="N32" i="9" l="1"/>
  <c r="C6" i="3"/>
  <c r="C17" i="3"/>
  <c r="N17" i="3" s="1"/>
  <c r="C16" i="3"/>
  <c r="N16" i="3" s="1"/>
  <c r="C6" i="2" l="1"/>
  <c r="B38" i="1"/>
  <c r="M10" i="3"/>
  <c r="L14" i="3"/>
  <c r="H14" i="3"/>
  <c r="F14" i="3"/>
  <c r="D14" i="3"/>
  <c r="E16" i="3" l="1"/>
  <c r="E17" i="3"/>
  <c r="I16" i="3"/>
  <c r="I17" i="3"/>
  <c r="G17" i="3"/>
  <c r="G16" i="3"/>
  <c r="M17" i="3"/>
  <c r="M16" i="3"/>
  <c r="C40" i="4" l="1"/>
  <c r="D40" i="4"/>
  <c r="F40" i="4"/>
  <c r="G40" i="4"/>
  <c r="H40" i="4"/>
  <c r="I40" i="4"/>
  <c r="J40" i="4"/>
  <c r="K40" i="4"/>
  <c r="L40" i="4"/>
  <c r="M40" i="4"/>
  <c r="N40" i="4"/>
  <c r="B40" i="4"/>
  <c r="B42" i="4" s="1"/>
  <c r="B43" i="4" s="1"/>
  <c r="O34" i="4"/>
  <c r="O35" i="4"/>
  <c r="O36" i="4"/>
  <c r="O37" i="4"/>
  <c r="O38" i="4"/>
  <c r="O39" i="4"/>
  <c r="C9" i="4" l="1"/>
  <c r="O40" i="4"/>
  <c r="C17" i="2" l="1"/>
  <c r="C31" i="2" l="1"/>
  <c r="C30" i="2"/>
  <c r="B49" i="1"/>
  <c r="C11" i="2"/>
  <c r="C9" i="2"/>
  <c r="C7" i="2"/>
  <c r="C15" i="2"/>
  <c r="C16" i="2"/>
  <c r="C18" i="2"/>
  <c r="C19" i="2"/>
  <c r="C20" i="2"/>
  <c r="C21" i="2"/>
  <c r="C22" i="2"/>
  <c r="C23" i="2"/>
  <c r="C24" i="2"/>
  <c r="C25" i="2"/>
  <c r="C26" i="2"/>
  <c r="C27" i="2"/>
  <c r="C28" i="2"/>
  <c r="C29" i="2"/>
  <c r="C32" i="2"/>
  <c r="C14" i="2"/>
  <c r="B35" i="1"/>
  <c r="B51" i="1" l="1"/>
  <c r="C51" i="1" s="1"/>
  <c r="C33" i="2"/>
  <c r="B8" i="2" l="1"/>
  <c r="B33" i="2"/>
  <c r="O24" i="4"/>
  <c r="O26" i="4"/>
  <c r="O27" i="4"/>
  <c r="O28" i="4"/>
  <c r="O29" i="4"/>
  <c r="O30" i="4"/>
  <c r="O31" i="4"/>
  <c r="C10" i="3" l="1"/>
  <c r="N10" i="3" s="1"/>
  <c r="C9" i="3"/>
  <c r="C8" i="3"/>
  <c r="C11" i="3"/>
  <c r="N11" i="3" s="1"/>
  <c r="C13" i="3"/>
  <c r="C12" i="3"/>
  <c r="C17" i="4"/>
  <c r="C42" i="4" s="1"/>
  <c r="I12" i="3"/>
  <c r="I11" i="3"/>
  <c r="I10" i="3"/>
  <c r="I9" i="3"/>
  <c r="I8" i="3"/>
  <c r="I13" i="3"/>
  <c r="B10" i="2"/>
  <c r="C10" i="2" s="1"/>
  <c r="C12" i="2" s="1"/>
  <c r="C8" i="2"/>
  <c r="C43" i="4" l="1"/>
  <c r="C15" i="3"/>
  <c r="N15" i="3" s="1"/>
  <c r="I15" i="3"/>
  <c r="B12" i="2"/>
  <c r="B35" i="2" s="1"/>
  <c r="B36" i="2" s="1"/>
  <c r="D9" i="4"/>
  <c r="C35" i="2"/>
  <c r="C36" i="2" l="1"/>
  <c r="C37" i="2"/>
  <c r="B39" i="2"/>
  <c r="B40" i="2" s="1"/>
  <c r="B41" i="2" s="1"/>
  <c r="B42" i="2" s="1"/>
  <c r="B37" i="2"/>
  <c r="B48" i="2" l="1"/>
  <c r="C39" i="2"/>
  <c r="C40" i="2" s="1"/>
  <c r="C41" i="2" s="1"/>
  <c r="C42" i="2" s="1"/>
  <c r="B51" i="2"/>
  <c r="C51" i="2" s="1"/>
  <c r="D51" i="2" s="1"/>
  <c r="B52" i="2"/>
  <c r="C52" i="2" s="1"/>
  <c r="D52" i="2" s="1"/>
  <c r="B56" i="2"/>
  <c r="C56" i="2" s="1"/>
  <c r="D56" i="2" s="1"/>
  <c r="B50" i="2" l="1"/>
  <c r="C50" i="2" s="1"/>
  <c r="D50" i="2" s="1"/>
  <c r="D17" i="4"/>
  <c r="B55" i="2"/>
  <c r="C55" i="2" s="1"/>
  <c r="D55" i="2" s="1"/>
  <c r="B53" i="2"/>
  <c r="C53" i="2" s="1"/>
  <c r="D53" i="2" s="1"/>
  <c r="D42" i="4" l="1"/>
  <c r="D43" i="4" l="1"/>
  <c r="E9" i="4"/>
  <c r="E17" i="4" s="1"/>
  <c r="E42" i="4" s="1"/>
  <c r="E43" i="4" s="1"/>
  <c r="F9" i="4" l="1"/>
  <c r="F17" i="4" s="1"/>
  <c r="F42" i="4" s="1"/>
  <c r="F43" i="4" l="1"/>
  <c r="G9" i="4"/>
  <c r="G17" i="4" s="1"/>
  <c r="G42" i="4" s="1"/>
  <c r="G43" i="4" l="1"/>
  <c r="H9" i="4"/>
  <c r="H17" i="4" s="1"/>
  <c r="H42" i="4" l="1"/>
  <c r="H43" i="4" l="1"/>
  <c r="I9" i="4"/>
  <c r="I17" i="4" s="1"/>
  <c r="I42" i="4" l="1"/>
  <c r="I43" i="4" l="1"/>
  <c r="J9" i="4"/>
  <c r="J17" i="4" s="1"/>
  <c r="J42" i="4" l="1"/>
  <c r="J43" i="4" l="1"/>
  <c r="K9" i="4"/>
  <c r="K17" i="4" s="1"/>
  <c r="K42" i="4" l="1"/>
  <c r="B22" i="3"/>
  <c r="B47" i="2"/>
  <c r="B49" i="2" s="1"/>
  <c r="K43" i="4" l="1"/>
  <c r="L9" i="4"/>
  <c r="L17" i="4" s="1"/>
  <c r="C49" i="2"/>
  <c r="B54" i="2"/>
  <c r="B57" i="2"/>
  <c r="B59" i="2" s="1"/>
  <c r="B61" i="2" s="1"/>
  <c r="C22" i="3"/>
  <c r="L42" i="4" l="1"/>
  <c r="C48" i="2"/>
  <c r="C47" i="2" s="1"/>
  <c r="D49" i="2"/>
  <c r="C54" i="2"/>
  <c r="C57" i="2" s="1"/>
  <c r="C59" i="2" s="1"/>
  <c r="C61" i="2" s="1"/>
  <c r="L43" i="4" l="1"/>
  <c r="M9" i="4"/>
  <c r="M17" i="4" s="1"/>
  <c r="D54" i="2"/>
  <c r="D57" i="2" s="1"/>
  <c r="D59" i="2" s="1"/>
  <c r="D61" i="2" s="1"/>
  <c r="D48" i="2"/>
  <c r="D47" i="2" s="1"/>
  <c r="M42" i="4" l="1"/>
  <c r="E9" i="3"/>
  <c r="E11" i="3"/>
  <c r="E10" i="3"/>
  <c r="E12" i="3"/>
  <c r="E13" i="3"/>
  <c r="E8" i="3"/>
  <c r="G12" i="3"/>
  <c r="G8" i="3"/>
  <c r="G11" i="3"/>
  <c r="G9" i="3"/>
  <c r="G10" i="3"/>
  <c r="G13" i="3"/>
  <c r="M43" i="4" l="1"/>
  <c r="N9" i="4"/>
  <c r="N17" i="4" s="1"/>
  <c r="G15" i="3"/>
  <c r="E15" i="3"/>
  <c r="K13" i="3"/>
  <c r="K10" i="3"/>
  <c r="K8" i="3"/>
  <c r="K9" i="3"/>
  <c r="K11" i="3"/>
  <c r="J14" i="3"/>
  <c r="K12" i="3"/>
  <c r="M12" i="3"/>
  <c r="M13" i="3"/>
  <c r="M8" i="3"/>
  <c r="M11" i="3"/>
  <c r="M9" i="3"/>
  <c r="N42" i="4" l="1"/>
  <c r="N43" i="4" s="1"/>
  <c r="O43" i="4" s="1"/>
  <c r="K16" i="3"/>
  <c r="K17" i="3"/>
  <c r="K15" i="3"/>
  <c r="M15" i="3"/>
  <c r="B9" i="8" l="1"/>
  <c r="B17" i="8" s="1"/>
  <c r="B42" i="8" s="1"/>
  <c r="B21" i="3"/>
  <c r="B20" i="3"/>
  <c r="C20" i="3" s="1"/>
  <c r="B19" i="3"/>
  <c r="C19" i="3" s="1"/>
  <c r="B43" i="8" l="1" a="1"/>
  <c r="B43" i="8" s="1"/>
  <c r="C9" i="8"/>
  <c r="C17" i="8" s="1"/>
  <c r="C42" i="8" s="1"/>
  <c r="B23" i="3"/>
  <c r="B24" i="3" s="1"/>
  <c r="C21" i="3"/>
  <c r="C43" i="8" l="1"/>
  <c r="D9" i="8"/>
  <c r="D17" i="8" l="1"/>
  <c r="D42" i="8" l="1"/>
  <c r="E9" i="8" l="1"/>
  <c r="D43" i="8"/>
  <c r="E17" i="8"/>
  <c r="E42" i="8" l="1"/>
  <c r="F9" i="8" l="1"/>
  <c r="F17" i="8" s="1"/>
  <c r="E43" i="8"/>
  <c r="F42" i="8" l="1"/>
  <c r="G9" i="8" l="1"/>
  <c r="F43" i="8"/>
  <c r="G17" i="8"/>
  <c r="G42" i="8" l="1"/>
  <c r="G43" i="8" l="1"/>
  <c r="H9" i="8"/>
  <c r="H17" i="8" s="1"/>
  <c r="H42" i="8" s="1"/>
  <c r="I9" i="8" l="1"/>
  <c r="H43" i="8"/>
  <c r="I17" i="8"/>
  <c r="I42" i="8" l="1"/>
  <c r="I43" i="8" l="1"/>
  <c r="J9" i="8"/>
  <c r="J17" i="8" s="1"/>
  <c r="J42" i="8" s="1"/>
  <c r="J43" i="8" l="1"/>
  <c r="K9" i="8"/>
  <c r="K17" i="8" s="1"/>
  <c r="K42" i="8" s="1"/>
  <c r="K43" i="8" l="1"/>
  <c r="L9" i="8"/>
  <c r="L17" i="8" s="1"/>
  <c r="L42" i="8" s="1"/>
  <c r="L43" i="8" l="1"/>
  <c r="M9" i="8"/>
  <c r="M17" i="8" s="1"/>
  <c r="M42" i="8" s="1"/>
  <c r="B9" i="9" s="1"/>
  <c r="B17" i="9" l="1"/>
  <c r="B42" i="9" s="1"/>
  <c r="M43" i="8"/>
  <c r="N43" i="8" s="1"/>
  <c r="B43" i="9" l="1" a="1"/>
  <c r="B43" i="9" s="1"/>
  <c r="C9" i="9"/>
  <c r="C17" i="9" s="1"/>
  <c r="C42" i="9" s="1"/>
  <c r="C43" i="9" l="1"/>
  <c r="D9" i="9"/>
  <c r="D17" i="9" s="1"/>
  <c r="D42" i="9" l="1"/>
  <c r="D43" i="9" l="1"/>
  <c r="E9" i="9"/>
  <c r="E17" i="9" s="1"/>
  <c r="E42" i="9" s="1"/>
  <c r="E43" i="9" l="1"/>
  <c r="F9" i="9"/>
  <c r="F17" i="9" s="1"/>
  <c r="F42" i="9" s="1"/>
  <c r="F43" i="9" s="1"/>
  <c r="G9" i="9" l="1"/>
  <c r="G17" i="9" s="1"/>
  <c r="G42" i="9" l="1"/>
  <c r="G43" i="9" l="1"/>
  <c r="H9" i="9"/>
  <c r="H17" i="9" s="1"/>
  <c r="H42" i="9" s="1"/>
  <c r="H43" i="9" l="1"/>
  <c r="I9" i="9"/>
  <c r="I17" i="9" s="1"/>
  <c r="I42" i="9" l="1"/>
  <c r="I43" i="9" l="1"/>
  <c r="J9" i="9"/>
  <c r="J17" i="9" s="1"/>
  <c r="J42" i="9" l="1"/>
  <c r="J43" i="9" l="1"/>
  <c r="K9" i="9"/>
  <c r="K17" i="9"/>
  <c r="K42" i="9" l="1"/>
  <c r="K43" i="9" l="1"/>
  <c r="L9" i="9"/>
  <c r="L17" i="9" s="1"/>
  <c r="L42" i="9" s="1"/>
  <c r="L43" i="9" l="1"/>
  <c r="M9" i="9"/>
  <c r="M17" i="9" s="1"/>
  <c r="M42" i="9" s="1"/>
  <c r="M43" i="9" s="1"/>
  <c r="N43"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13" authorId="0" shapeId="0" xr:uid="{BFD33933-7894-DD4B-B5E4-343613639E36}">
      <text>
        <r>
          <rPr>
            <b/>
            <sz val="12"/>
            <color rgb="FF000000"/>
            <rFont val="Arial"/>
            <family val="34"/>
          </rPr>
          <t xml:space="preserve">Business start-up costs: </t>
        </r>
        <r>
          <rPr>
            <sz val="12"/>
            <color rgb="FF000000"/>
            <rFont val="Arial"/>
            <family val="34"/>
          </rPr>
          <t>Registering a sole proprietorship costs €70, while registering a limited liability company costs €280. Start-up costs may also include expenses such as drawing up a shareholders’ agreement or obtaining sector-specific permits.</t>
        </r>
      </text>
    </comment>
    <comment ref="A15" authorId="0" shapeId="0" xr:uid="{6E128261-8775-4743-8D38-1A359F84D75B}">
      <text>
        <r>
          <rPr>
            <b/>
            <sz val="12"/>
            <color rgb="FF000000"/>
            <rFont val="Arial"/>
            <family val="34"/>
          </rPr>
          <t>Available</t>
        </r>
        <r>
          <rPr>
            <b/>
            <sz val="12"/>
            <color rgb="FF000000"/>
            <rFont val="Arial"/>
            <family val="34"/>
          </rPr>
          <t xml:space="preserve"> tools and equipment</t>
        </r>
        <r>
          <rPr>
            <sz val="12"/>
            <color rgb="FF000000"/>
            <rFont val="Arial"/>
            <family val="34"/>
          </rPr>
          <t>: Enter the estimated value of any tools you may already have available for your business here. The calculation will also automatically transfer their value to the ‘Sources of funds’ table under ‘My tools’.</t>
        </r>
      </text>
    </comment>
    <comment ref="A26" authorId="0" shapeId="0" xr:uid="{357292F4-8B8C-F843-AEFE-58722A09AAFC}">
      <text>
        <r>
          <rPr>
            <b/>
            <sz val="12"/>
            <color rgb="FF000000"/>
            <rFont val="Arial"/>
            <family val="34"/>
          </rPr>
          <t xml:space="preserve">Rent for facilities/security deposits: </t>
        </r>
        <r>
          <rPr>
            <sz val="12"/>
            <color rgb="FF000000"/>
            <rFont val="Arial"/>
            <family val="34"/>
          </rPr>
          <t>If you estimate that it will take three months before you can pay your rent with funds from your revenue (money from customers) and you have to pay a three-month security deposit, you should enter six times your monthly rent.</t>
        </r>
      </text>
    </comment>
    <comment ref="A28" authorId="0" shapeId="0" xr:uid="{546CCFE8-B6B5-2947-A7F5-B62BFB0ECBB4}">
      <text>
        <r>
          <rPr>
            <b/>
            <sz val="12"/>
            <color rgb="FF000000"/>
            <rFont val="Arial"/>
            <family val="34"/>
          </rPr>
          <t xml:space="preserve">The entrepreneur’s own livelihood: </t>
        </r>
        <r>
          <rPr>
            <sz val="12"/>
            <color rgb="FF000000"/>
            <rFont val="Arial"/>
            <family val="34"/>
          </rPr>
          <t>How much do you need each month to cover your necessary personal expenses? Multiply this figure by the number of months you estimate it will take for your business to start generating a sustainable income for you.</t>
        </r>
      </text>
    </comment>
    <comment ref="A51" authorId="0" shapeId="0" xr:uid="{9B194AD3-1382-D34E-B963-01F730557DBD}">
      <text>
        <r>
          <rPr>
            <b/>
            <sz val="12"/>
            <color rgb="FF000000"/>
            <rFont val="Arial"/>
            <family val="34"/>
          </rPr>
          <t xml:space="preserve">The difference between sources of funds and the need for funds: </t>
        </r>
        <r>
          <rPr>
            <sz val="12"/>
            <color rgb="FF000000"/>
            <rFont val="Arial"/>
            <family val="34"/>
          </rPr>
          <t>Your financial calculation is done correctly when your need for funds is equal to your sources of funds. If the resulting difference is negative, you need to increase your sources of funds to match your need for funds.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6" authorId="0" shapeId="0" xr:uid="{8F83E834-53FD-5344-944D-A81C0170F9C6}">
      <text>
        <r>
          <rPr>
            <b/>
            <sz val="12"/>
            <color rgb="FF000000"/>
            <rFont val="Arial"/>
            <family val="34"/>
          </rPr>
          <t>The net income of a sole proprietor or the profits of a limited company:</t>
        </r>
        <r>
          <rPr>
            <sz val="12"/>
            <color rgb="FF000000"/>
            <rFont val="Arial"/>
            <family val="34"/>
          </rPr>
          <t xml:space="preserve"> ‘Target earnings’ refers to the net income required for an entrepreneur to operate their business. You can calculate it by estimating how much money you will need per month for personal expenses (housing, food, clothes, etc.). You can also estimate your target earnings based on the net salary you receive from your job. In the case of a limited company, the salary is entered as a gross amount on line 17.</t>
        </r>
      </text>
    </comment>
    <comment ref="A8" authorId="0" shapeId="0" xr:uid="{40072EB0-A3EB-AE46-A532-9601AAD39EA0}">
      <text>
        <r>
          <rPr>
            <b/>
            <sz val="12"/>
            <color rgb="FF000000"/>
            <rFont val="Arial"/>
            <family val="34"/>
          </rPr>
          <t xml:space="preserve">Net income: </t>
        </r>
        <r>
          <rPr>
            <sz val="12"/>
            <color rgb="FF000000"/>
            <rFont val="Arial"/>
            <family val="34"/>
          </rPr>
          <t>Business loan repayments are added to the target earnings to calculate net income. When you add taxes to net income, you arrive at your financing needs. When the interest on business loans is added to your financing needs, you get the amount that your business needs to earn for you to live on and service your business loans.</t>
        </r>
      </text>
    </comment>
    <comment ref="A9" authorId="0" shapeId="0" xr:uid="{5FE58212-3253-B046-96F0-7C333C4E1B6C}">
      <text>
        <r>
          <rPr>
            <b/>
            <sz val="12"/>
            <color rgb="FF000000"/>
            <rFont val="Arial"/>
            <family val="34"/>
          </rPr>
          <t xml:space="preserve">Taxes on income: </t>
        </r>
        <r>
          <rPr>
            <sz val="12"/>
            <color rgb="FF000000"/>
            <rFont val="Arial"/>
            <family val="34"/>
          </rPr>
          <t>For example, a sole proprietor who earns €1800 net per month as an entrepreneur pays taxes of around €90 per month. Calculated with no other income, membership in a church (Evangelical Lutheran), and YEL paid according to the minimum earned income threshold. Learn more about your tax rate</t>
        </r>
        <r>
          <rPr>
            <sz val="12"/>
            <color rgb="FF000000"/>
            <rFont val="Arial"/>
            <family val="34"/>
          </rPr>
          <t xml:space="preserve"> with the tax rate calculator on the Tax Administration’s website. </t>
        </r>
        <r>
          <rPr>
            <sz val="12"/>
            <color rgb="FF000000"/>
            <rFont val="Arial"/>
            <family val="34"/>
          </rPr>
          <t>The corporation tax rate for a limited company is always 20%, and in addition to this, entrepreneurs pay taxes on their earned income, i.e. their salary.</t>
        </r>
      </text>
    </comment>
    <comment ref="A13" authorId="0" shapeId="0" xr:uid="{4A33106E-6C11-EE41-A6EB-F69C27FCBFAB}">
      <text>
        <r>
          <rPr>
            <b/>
            <sz val="12"/>
            <color rgb="FF000000"/>
            <rFont val="Arial"/>
            <family val="34"/>
          </rPr>
          <t xml:space="preserve">Fixed costs: </t>
        </r>
        <r>
          <rPr>
            <sz val="12"/>
            <color rgb="FF000000"/>
            <rFont val="Arial"/>
            <family val="34"/>
          </rPr>
          <t>Fixed costs are expenses that do not depend on a company’s amount of billing but remain relatively constant from month to month. Fixed costs include the salaries of other employees, insurance policies, rent, office expenses, electricity/water, etc.</t>
        </r>
      </text>
    </comment>
    <comment ref="A14" authorId="0" shapeId="0" xr:uid="{E40D53D9-DABB-404A-8C6B-A6756D2A7988}">
      <text>
        <r>
          <rPr>
            <b/>
            <sz val="12"/>
            <color rgb="FF000000"/>
            <rFont val="Arial"/>
            <family val="34"/>
          </rPr>
          <t xml:space="preserve">Pension insurance for self-employed persons: </t>
        </r>
        <r>
          <rPr>
            <sz val="12"/>
            <color rgb="FF000000"/>
            <rFont val="Arial"/>
            <family val="34"/>
          </rPr>
          <t>The self-employed person’s pension insurance contribution (YEL) is mandatory and is assessed based on the person’s confirmed income from self-employment. New entrepreneurs receive a 22% discount for the first 48 months. For example, based on an annual income of €14 803, the reduced monthly YEL contribution for a person under 53 is €232/month. Employee pension insurance (TyEL) is compulsory when a company hires an employee.</t>
        </r>
      </text>
    </comment>
    <comment ref="A35" authorId="0" shapeId="0" xr:uid="{A2D46BA1-6B33-9B4E-AB19-09AB5D983417}">
      <text>
        <r>
          <rPr>
            <b/>
            <sz val="12"/>
            <color rgb="FF000000"/>
            <rFont val="Arial"/>
            <family val="34"/>
          </rPr>
          <t xml:space="preserve">Required sales margin: </t>
        </r>
        <r>
          <rPr>
            <sz val="12"/>
            <color rgb="FF000000"/>
            <rFont val="Arial"/>
            <family val="34"/>
          </rPr>
          <t>When you add together the financing needs of the business, interest on business loans, and fixed costs, the result is the required sales margin.</t>
        </r>
      </text>
    </comment>
    <comment ref="A36" authorId="0" shapeId="0" xr:uid="{0F28E8F9-11F4-5D4B-853F-D48E10484912}">
      <text>
        <r>
          <rPr>
            <b/>
            <sz val="12"/>
            <color rgb="FF000000"/>
            <rFont val="Arial"/>
            <family val="34"/>
          </rPr>
          <t xml:space="preserve">Value added tax: </t>
        </r>
        <r>
          <rPr>
            <sz val="12"/>
            <color rgb="FF000000"/>
            <rFont val="Arial"/>
            <family val="34"/>
          </rPr>
          <t>Value added tax depends to some degree on the goods or services sold.</t>
        </r>
      </text>
    </comment>
    <comment ref="A37" authorId="0" shapeId="0" xr:uid="{D8451732-BFDD-E044-A8F7-A003F01CBCBC}">
      <text>
        <r>
          <rPr>
            <b/>
            <sz val="12"/>
            <color rgb="FF000000"/>
            <rFont val="Arial"/>
            <family val="34"/>
          </rPr>
          <t xml:space="preserve">Total sales/invoicing: </t>
        </r>
        <r>
          <rPr>
            <sz val="12"/>
            <color rgb="FF000000"/>
            <rFont val="Arial"/>
            <family val="34"/>
          </rPr>
          <t>Total sales/invoicing is the sum of turnover and value added tax.</t>
        </r>
      </text>
    </comment>
    <comment ref="A38" authorId="0" shapeId="0" xr:uid="{D9F20C8B-DF9C-0840-8120-B2F22796B292}">
      <text>
        <r>
          <rPr>
            <b/>
            <sz val="12"/>
            <color rgb="FF000000"/>
            <rFont val="Arial"/>
            <family val="34"/>
          </rPr>
          <t xml:space="preserve">Required sales margin (minimum): </t>
        </r>
        <r>
          <rPr>
            <sz val="12"/>
            <color rgb="FF000000"/>
            <rFont val="Arial"/>
            <family val="34"/>
          </rPr>
          <t>This will help you calculate the monthly, daily and hourly billing requirements for your business. Please note that your business may not always be able to bill for full months, days or hours. Estimate how many days or hours your business can bill customers each month.</t>
        </r>
      </text>
    </comment>
    <comment ref="A40" authorId="0" shapeId="0" xr:uid="{71ACEA1A-22DC-BC48-B281-55E3F2E0EB00}">
      <text>
        <r>
          <rPr>
            <b/>
            <sz val="12"/>
            <color rgb="FF000000"/>
            <rFont val="Arial"/>
            <family val="34"/>
          </rPr>
          <t>Required</t>
        </r>
        <r>
          <rPr>
            <b/>
            <sz val="12"/>
            <color rgb="FF000000"/>
            <rFont val="Arial"/>
            <family val="34"/>
          </rPr>
          <t xml:space="preserve"> monthly margin: </t>
        </r>
        <r>
          <rPr>
            <sz val="12"/>
            <color rgb="FF000000"/>
            <rFont val="Arial"/>
            <family val="34"/>
          </rPr>
          <t>The required monthly margin is automatically transferred to the ‘Sales summary’ table in the monthly sales calculation.</t>
        </r>
      </text>
    </comment>
    <comment ref="A43" authorId="0" shapeId="0" xr:uid="{63E0639B-D95F-1F4B-8583-84EB0F10329E}">
      <text>
        <r>
          <rPr>
            <b/>
            <sz val="12"/>
            <color rgb="FF000000"/>
            <rFont val="Arial"/>
            <family val="34"/>
          </rPr>
          <t xml:space="preserve">Three-year growth percentage: </t>
        </r>
        <r>
          <rPr>
            <sz val="12"/>
            <color rgb="FF000000"/>
            <rFont val="Arial"/>
            <family val="34"/>
          </rPr>
          <t>You can change the growth rates for income and expenses.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22" authorId="0" shapeId="0" xr:uid="{64A76B62-9FC6-9B47-A8AA-CF4EC2B799E1}">
      <text>
        <r>
          <rPr>
            <b/>
            <sz val="12"/>
            <color rgb="FF000000"/>
            <rFont val="Arial"/>
            <family val="34"/>
          </rPr>
          <t xml:space="preserve">Required sales margin in the profitability calculation: </t>
        </r>
        <r>
          <rPr>
            <sz val="12"/>
            <color rgb="FF000000"/>
            <rFont val="Calibri"/>
            <family val="2"/>
            <scheme val="minor"/>
          </rPr>
          <t>The required sales margin per month in the profitability calculation</t>
        </r>
        <r>
          <rPr>
            <sz val="12"/>
            <color rgb="FF000000"/>
            <rFont val="Calibri"/>
            <family val="2"/>
            <scheme val="minor"/>
          </rPr>
          <t xml:space="preserve"> has been automatically transferred from the</t>
        </r>
        <r>
          <rPr>
            <sz val="12"/>
            <color rgb="FF000000"/>
            <rFont val="Calibri"/>
            <family val="2"/>
            <scheme val="minor"/>
          </rPr>
          <t xml:space="preserve"> "Profitability calculation" tab.</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21" authorId="0" shapeId="0" xr:uid="{BF9B54E1-7967-AC41-9390-C426FAF24D45}">
      <text>
        <r>
          <rPr>
            <b/>
            <sz val="12"/>
            <color rgb="FF000000"/>
            <rFont val="Arial"/>
            <family val="34"/>
          </rPr>
          <t>Value added tax:</t>
        </r>
        <r>
          <rPr>
            <sz val="12"/>
            <color rgb="FF000000"/>
            <rFont val="Arial"/>
            <family val="34"/>
          </rPr>
          <t xml:space="preserve">
</t>
        </r>
        <r>
          <rPr>
            <b/>
            <sz val="12"/>
            <color rgb="FF000000"/>
            <rFont val="Arial"/>
            <family val="34"/>
          </rPr>
          <t>Negative figure = VAT refund from the tax authorities.</t>
        </r>
        <r>
          <rPr>
            <sz val="12"/>
            <color rgb="FF000000"/>
            <rFont val="Arial"/>
            <family val="34"/>
          </rPr>
          <t xml:space="preserve">
</t>
        </r>
        <r>
          <rPr>
            <b/>
            <sz val="12"/>
            <color rgb="FF000000"/>
            <rFont val="Arial"/>
            <family val="34"/>
          </rPr>
          <t>Positive figure = VAT payable to the tax authorities.</t>
        </r>
        <r>
          <rPr>
            <sz val="12"/>
            <color rgb="FF000000"/>
            <rFont val="Arial"/>
            <family val="34"/>
          </rPr>
          <t xml:space="preserve">
</t>
        </r>
        <r>
          <rPr>
            <sz val="12"/>
            <color rgb="FF000000"/>
            <rFont val="Arial"/>
            <family val="34"/>
          </rPr>
          <t>The date for reporting and paying value added tax (VAT) is the 12th day of the second month after the end of the tax period. So, for example, VAT for January is due by 12 March. PLEASE NOTE! This calculation is simplified for value added tax. VAT on income-generating expenses (other than purchases) can also be deducted for VAT purposes.</t>
        </r>
      </text>
    </comment>
    <comment ref="N42" authorId="0" shapeId="0" xr:uid="{937EFA96-BBD6-634E-80FA-CFA4AC037CC1}">
      <text>
        <r>
          <rPr>
            <b/>
            <sz val="12"/>
            <color rgb="FF000000"/>
            <rFont val="Arial"/>
            <family val="34"/>
          </rPr>
          <t xml:space="preserve">Liquidity in the last period: </t>
        </r>
        <r>
          <rPr>
            <sz val="12"/>
            <color rgb="FF000000"/>
            <rFont val="Arial"/>
            <family val="34"/>
          </rPr>
          <t>The figure for the first period has been automatically transferred from Period 12 of the first year’s liquidity table.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9" authorId="0" shapeId="0" xr:uid="{3E7D9BB1-3576-0C47-848D-6A5C8E1C1A04}">
      <text>
        <r>
          <rPr>
            <b/>
            <sz val="12"/>
            <color rgb="FF000000"/>
            <rFont val="Arial"/>
            <family val="34"/>
          </rPr>
          <t>Liquidity of the previous Period:</t>
        </r>
        <r>
          <rPr>
            <sz val="12"/>
            <color rgb="FF000000"/>
            <rFont val="Arial"/>
            <family val="34"/>
          </rPr>
          <t xml:space="preserve"> The liquidity of the first period is transferred from Period 12 of the first year.</t>
        </r>
      </text>
    </comment>
    <comment ref="A21" authorId="0" shapeId="0" xr:uid="{083FF6AC-3B59-F14A-8C7A-9FD26007A62E}">
      <text>
        <r>
          <rPr>
            <b/>
            <sz val="12"/>
            <color rgb="FF000000"/>
            <rFont val="Arial"/>
            <family val="34"/>
          </rPr>
          <t>Value added tax:</t>
        </r>
        <r>
          <rPr>
            <sz val="12"/>
            <color rgb="FF000000"/>
            <rFont val="Arial"/>
            <family val="34"/>
          </rPr>
          <t xml:space="preserve">
</t>
        </r>
        <r>
          <rPr>
            <b/>
            <sz val="12"/>
            <color rgb="FF000000"/>
            <rFont val="Arial"/>
            <family val="34"/>
          </rPr>
          <t>Negative figure = VAT refund from the tax authorities.</t>
        </r>
        <r>
          <rPr>
            <sz val="12"/>
            <color rgb="FF000000"/>
            <rFont val="Arial"/>
            <family val="34"/>
          </rPr>
          <t xml:space="preserve">
</t>
        </r>
        <r>
          <rPr>
            <b/>
            <sz val="12"/>
            <color rgb="FF000000"/>
            <rFont val="Arial"/>
            <family val="34"/>
          </rPr>
          <t>Positive figure = VAT payable to the tax authorities.</t>
        </r>
        <r>
          <rPr>
            <sz val="12"/>
            <color rgb="FF000000"/>
            <rFont val="Arial"/>
            <family val="34"/>
          </rPr>
          <t xml:space="preserve">
</t>
        </r>
        <r>
          <rPr>
            <sz val="12"/>
            <color rgb="FF000000"/>
            <rFont val="Arial"/>
            <family val="34"/>
          </rPr>
          <t>The date for reporting and paying value added tax (VAT) is the 12th day of the second month after the end of the tax period. So, for example, VAT for January is due by 12 March. PLEASE NOTE! This calculation is simplified for value added tax. VAT on income-generating expenses (other than purchases) can also be deducted for VAT purposes.</t>
        </r>
      </text>
    </comment>
    <comment ref="B21" authorId="0" shapeId="0" xr:uid="{008A3B0B-ED1C-D548-B03B-9B0BB9BCC424}">
      <text>
        <r>
          <rPr>
            <b/>
            <sz val="12"/>
            <color rgb="FF000000"/>
            <rFont val="Arial"/>
            <family val="34"/>
          </rPr>
          <t xml:space="preserve">VAT to be paid: </t>
        </r>
        <r>
          <rPr>
            <sz val="12"/>
            <color rgb="FF000000"/>
            <rFont val="Arial"/>
            <family val="34"/>
          </rPr>
          <t>The figure for the first period has been automatically transferred from the second-to-last period of the first year.</t>
        </r>
      </text>
    </comment>
    <comment ref="C21" authorId="0" shapeId="0" xr:uid="{2EC23AE9-647D-2047-B07D-97BF290F6D5C}">
      <text>
        <r>
          <rPr>
            <b/>
            <sz val="12"/>
            <color rgb="FF000000"/>
            <rFont val="Arial"/>
            <family val="34"/>
          </rPr>
          <t xml:space="preserve">VAT to be paid: </t>
        </r>
        <r>
          <rPr>
            <sz val="12"/>
            <color rgb="FF000000"/>
            <rFont val="Arial"/>
            <family val="34"/>
          </rPr>
          <t>The figure for the second period has been automatically transferred from the last period of the first year.</t>
        </r>
      </text>
    </comment>
    <comment ref="M42" authorId="0" shapeId="0" xr:uid="{FEA5CB39-3A54-C74E-B8C8-EFAA2E6255C1}">
      <text>
        <r>
          <rPr>
            <b/>
            <sz val="12"/>
            <color rgb="FF000000"/>
            <rFont val="Arial"/>
            <family val="34"/>
          </rPr>
          <t xml:space="preserve">Liquidity in Period 12: </t>
        </r>
        <r>
          <rPr>
            <sz val="12"/>
            <color rgb="FF000000"/>
            <rFont val="Arial"/>
            <family val="34"/>
          </rPr>
          <t>Automatically transfers to the opening balance table for Period 1 of the third year.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9" authorId="0" shapeId="0" xr:uid="{FE4C5E22-11B9-E043-AA6F-C19A7888107C}">
      <text>
        <r>
          <rPr>
            <b/>
            <sz val="12"/>
            <color rgb="FF000000"/>
            <rFont val="Arial"/>
            <family val="34"/>
          </rPr>
          <t>Liquidity of the previous Period:</t>
        </r>
        <r>
          <rPr>
            <sz val="12"/>
            <color rgb="FF000000"/>
            <rFont val="Arial"/>
            <family val="34"/>
          </rPr>
          <t xml:space="preserve"> The liquidity of the first period is transferred from Period 12 of the second year.</t>
        </r>
      </text>
    </comment>
    <comment ref="A21" authorId="0" shapeId="0" xr:uid="{F142A068-FE62-E140-BB91-B8166D99212F}">
      <text>
        <r>
          <rPr>
            <b/>
            <sz val="12"/>
            <color rgb="FF000000"/>
            <rFont val="Arial"/>
            <family val="34"/>
          </rPr>
          <t>Value added tax:</t>
        </r>
        <r>
          <rPr>
            <sz val="12"/>
            <color rgb="FF000000"/>
            <rFont val="Arial"/>
            <family val="34"/>
          </rPr>
          <t xml:space="preserve">
</t>
        </r>
        <r>
          <rPr>
            <b/>
            <sz val="12"/>
            <color rgb="FF000000"/>
            <rFont val="Arial"/>
            <family val="34"/>
          </rPr>
          <t>Negative figure = VAT refund from the tax authorities.</t>
        </r>
        <r>
          <rPr>
            <sz val="12"/>
            <color rgb="FF000000"/>
            <rFont val="Arial"/>
            <family val="34"/>
          </rPr>
          <t xml:space="preserve">
</t>
        </r>
        <r>
          <rPr>
            <b/>
            <sz val="12"/>
            <color rgb="FF000000"/>
            <rFont val="Arial"/>
            <family val="34"/>
          </rPr>
          <t>Positive figure = VAT payable to the tax authorities.</t>
        </r>
        <r>
          <rPr>
            <sz val="12"/>
            <color rgb="FF000000"/>
            <rFont val="Arial"/>
            <family val="34"/>
          </rPr>
          <t xml:space="preserve">
</t>
        </r>
        <r>
          <rPr>
            <sz val="12"/>
            <color rgb="FF000000"/>
            <rFont val="Arial"/>
            <family val="34"/>
          </rPr>
          <t>The date for reporting and paying value added tax (VAT) is the 12th day of the second month after the end of the tax period. So, for example, VAT for January is due by 12 March. PLEASE NOTE! This calculation is simplified for value added tax. VAT on income-generating expenses (other than purchases) can also be deducted for VAT purposes.</t>
        </r>
      </text>
    </comment>
    <comment ref="B21" authorId="0" shapeId="0" xr:uid="{5429B48C-F9D8-F24D-8FC8-1A3DB5C0E296}">
      <text>
        <r>
          <rPr>
            <b/>
            <sz val="12"/>
            <color rgb="FF000000"/>
            <rFont val="Arial"/>
            <family val="34"/>
          </rPr>
          <t xml:space="preserve">VAT to be paid: </t>
        </r>
        <r>
          <rPr>
            <sz val="12"/>
            <color rgb="FF000000"/>
            <rFont val="Arial"/>
            <family val="34"/>
          </rPr>
          <t>The figure for the first period has been automatically transferred from the second-to-last period of the second year.</t>
        </r>
      </text>
    </comment>
    <comment ref="C21" authorId="0" shapeId="0" xr:uid="{24A914B0-D57D-A144-8422-1F463469675E}">
      <text>
        <r>
          <rPr>
            <b/>
            <sz val="12"/>
            <color rgb="FF000000"/>
            <rFont val="Arial"/>
            <family val="34"/>
          </rPr>
          <t xml:space="preserve">VAT to be paid: </t>
        </r>
        <r>
          <rPr>
            <sz val="12"/>
            <color rgb="FF000000"/>
            <rFont val="Arial"/>
            <family val="34"/>
          </rPr>
          <t>The figure for the first period has been automatically transferred from the second-to-last period of the second year.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<sst xmlns="http://schemas.openxmlformats.org/spreadsheetml/2006/main" count="1629" uniqueCount="272">
  <si>
    <t>€</t>
  </si>
  <si>
    <t>vuosi +1</t>
  </si>
  <si>
    <t>vuosi +2</t>
  </si>
  <si>
    <t>vuosi +3</t>
  </si>
  <si>
    <t>Finnvera</t>
  </si>
  <si>
    <t>YEL</t>
  </si>
  <si>
    <t>.</t>
  </si>
  <si>
    <t>© Copyright Business Helsinki</t>
  </si>
  <si>
    <t>Financial calculation tab. This tab allows you to specify your financial needs and sources of funds so that you know whether starting a business is feasible for you. At the bottom of this tab, you will find ‘Instructions for the financial calculation’, which provide more detailed instructions for filling in specific cells. The instructions are also in the cell notes. You can name your business in the ‘Business name’ cell. This tab has three tables: The ‘Need for funds’ table, ‘Sources of funds’ table, and ‘Difference between sources of funds and need for funds’ table. Fill in the ‘Need for funds’ table and the ‘Sources of funds’ table. The ‘Difference between sources of funds and need for funds’ table is automatically filled in.</t>
  </si>
  <si>
    <t>Financial calculation for business operations</t>
  </si>
  <si>
    <r>
      <t xml:space="preserve">This form will help you determine what it will cost to start your business (‘need for funds’) and plan for how you will finance it (‘sources of funds’).
</t>
    </r>
    <r>
      <rPr>
        <b/>
        <sz val="14"/>
        <color theme="1"/>
        <rFont val="Arial"/>
        <family val="2"/>
      </rPr>
      <t>See the bottom of the tab and the notes for more detailed instructions for filling in the tables.</t>
    </r>
  </si>
  <si>
    <t>Business name (please fill in below):</t>
  </si>
  <si>
    <t>Business</t>
  </si>
  <si>
    <t>● What are important and sensible purchases for your business?</t>
  </si>
  <si>
    <t>● How much working capital do you need to survive the first few months?</t>
  </si>
  <si>
    <t>● How much of your own money and/or tools can you invest in your business?</t>
  </si>
  <si>
    <t>● How much will you need to borrow, where will you get a loan, what will it cost, and will you need collateral?</t>
  </si>
  <si>
    <t>Need for funds (before you start your business)</t>
  </si>
  <si>
    <t>Comment</t>
  </si>
  <si>
    <t>If purchasing a company, the purchase price</t>
  </si>
  <si>
    <t>Investments</t>
  </si>
  <si>
    <t>Business start-up costs and permit fees</t>
  </si>
  <si>
    <t>Tools and information technology</t>
  </si>
  <si>
    <t>Available tools and equipment</t>
  </si>
  <si>
    <t>Phone, etc.</t>
  </si>
  <si>
    <t>Car</t>
  </si>
  <si>
    <t>Furniture</t>
  </si>
  <si>
    <t>Renovations</t>
  </si>
  <si>
    <t>Office supplies and other small accessories</t>
  </si>
  <si>
    <t>Installations, other purchased services</t>
  </si>
  <si>
    <t>Website, marketing, brochures (incl. SEO, etc.)</t>
  </si>
  <si>
    <t>Other potential investments 1</t>
  </si>
  <si>
    <t>Other potential investments 2</t>
  </si>
  <si>
    <t>Working capital 1–3 months</t>
  </si>
  <si>
    <t>Rent for facilities / security deposits</t>
  </si>
  <si>
    <t>Equipment rentals / leasing</t>
  </si>
  <si>
    <t>The entrepreneur’s own livelihood</t>
  </si>
  <si>
    <t>Employee salaries</t>
  </si>
  <si>
    <t>Other incidental working capital expenses</t>
  </si>
  <si>
    <t>Inventory and financial assets</t>
  </si>
  <si>
    <t>Initial stock</t>
  </si>
  <si>
    <t>Cash</t>
  </si>
  <si>
    <t>Other inventory and financial assets</t>
  </si>
  <si>
    <t>Total need for funds</t>
  </si>
  <si>
    <t>Sources of funds (how will you arrange start-up funding?)</t>
  </si>
  <si>
    <t>Equity</t>
  </si>
  <si>
    <t>Your own investments in the business</t>
  </si>
  <si>
    <t>Share capital</t>
  </si>
  <si>
    <t>Other equity</t>
  </si>
  <si>
    <t>Loan capital</t>
  </si>
  <si>
    <t>Bank loan</t>
  </si>
  <si>
    <t>Shareholder loan</t>
  </si>
  <si>
    <t>Other loans (e.g. related party loan)</t>
  </si>
  <si>
    <t>Other (e.g. credit card limit, etc.)</t>
  </si>
  <si>
    <t>Other loan capital</t>
  </si>
  <si>
    <t>Total sources of funds</t>
  </si>
  <si>
    <t>The difference between sources of funds and 
the need for funds</t>
  </si>
  <si>
    <t>Is your need for funds equal to 
your source of funds?</t>
  </si>
  <si>
    <t>In order to start a business, your sources of funds must be equal to your need for funds</t>
  </si>
  <si>
    <t>Instructions for your financial calculation:</t>
  </si>
  <si>
    <r>
      <rPr>
        <b/>
        <sz val="14"/>
        <color theme="1"/>
        <rFont val="Arial"/>
        <family val="2"/>
      </rPr>
      <t xml:space="preserve">Available tools and equipment: </t>
    </r>
    <r>
      <rPr>
        <sz val="14"/>
        <color theme="1"/>
        <rFont val="Arial"/>
        <family val="2"/>
      </rPr>
      <t>Enter the estimated value of any tools you may already have available for your business here. The calculation will also automatically transfer their value to the ‘Sources of funds’ table under ‘My tools’.</t>
    </r>
  </si>
  <si>
    <r>
      <rPr>
        <b/>
        <sz val="14"/>
        <color theme="1"/>
        <rFont val="Arial"/>
        <family val="2"/>
      </rPr>
      <t xml:space="preserve">Rent for facilities/security deposits: </t>
    </r>
    <r>
      <rPr>
        <sz val="14"/>
        <color theme="1"/>
        <rFont val="Arial"/>
        <family val="2"/>
      </rPr>
      <t>If you estimate that it will take three months before you can pay your rent with funds from your revenue (money from customers) and you have to pay a three-month security deposit, you should enter six times your monthly rent.</t>
    </r>
  </si>
  <si>
    <r>
      <rPr>
        <b/>
        <sz val="14"/>
        <color theme="1"/>
        <rFont val="Arial"/>
        <family val="2"/>
      </rPr>
      <t xml:space="preserve">The entrepreneur’s own livelihood: </t>
    </r>
    <r>
      <rPr>
        <sz val="14"/>
        <color theme="1"/>
        <rFont val="Arial"/>
        <family val="2"/>
      </rPr>
      <t>How much do you need each month to cover your necessary personal expenses? Multiply this figure by the number of months you estimate it will take for your business to start generating a sustainable income for you.</t>
    </r>
  </si>
  <si>
    <r>
      <rPr>
        <b/>
        <sz val="14"/>
        <color theme="1"/>
        <rFont val="Arial"/>
        <family val="2"/>
      </rPr>
      <t xml:space="preserve">The difference between sources of funds and the need for funds: </t>
    </r>
    <r>
      <rPr>
        <sz val="14"/>
        <color theme="1"/>
        <rFont val="Arial"/>
        <family val="2"/>
      </rPr>
      <t>Your financial calculation is done correctly when your need for funds is equal to your sources of funds. If the resulting difference is negative, you need to increase your sources of funds to match your need for funds.</t>
    </r>
  </si>
  <si>
    <t>Empty cell</t>
  </si>
  <si>
    <t>Right edge of the financial calculation tab.</t>
  </si>
  <si>
    <t>End of the financial calculation tab.</t>
  </si>
  <si>
    <t>Profitability calculation tab. Use this tab to record target earnings and fixed costs to determine your minimum turnover. At the bottom of this tab, you will find ‘Instructions for the profitability calculation’, which provide more detailed instructions for filling in specific cells. The instructions are also in the cell notes. You can calculate your tax rate in more detail using the Tax Administration’s tax rate calculator. This tab has six tables: the ‘Target earnings’ table, the ‘Fixed business expenses’ table, the ‘Required sales margin’ table, the ‘Required sales margin (minimum)’ table, the ‘Three-year growth rate’ table, and the ‘Three-year profit and loss calculation’ table. Fill in the blank cells in the ‘Monthly’ column in the ‘Target earnings’ and ‘Fixed business costs’ tables. The remaining columns will be filled in based on these. The ‘Billing target’ table will be filled automatically. Fill in or modify the ‘Three-year growth rate’ table, and fill in the ‘Depreciation’ row and the ‘Incidental income/expenses’ rows in the ‘Three-year profit and loss calculation’ table. The remaining rows will be filled in automatically.</t>
  </si>
  <si>
    <t>Profitability calculation / ‘break-even’ calculation</t>
  </si>
  <si>
    <r>
      <t xml:space="preserve">The profitability calculation will help give you an idea of what kind of minimum turnover you should aim for. Fill in the profitability calculation thoughtfully. It is an important tool for planning and running your business.
</t>
    </r>
    <r>
      <rPr>
        <b/>
        <sz val="14"/>
        <color theme="1"/>
        <rFont val="Arial"/>
        <family val="2"/>
      </rPr>
      <t>See the bottom of the tab and the notes for more detailed instructions for filling in the tables.</t>
    </r>
  </si>
  <si>
    <t>Click here to calculate your tax rate in more detail using the tax rate calculator on the Tax Administration’s website.</t>
  </si>
  <si>
    <t>Target earnings</t>
  </si>
  <si>
    <t>Per month</t>
  </si>
  <si>
    <t>Per year (12 months)</t>
  </si>
  <si>
    <t>The net income of a sole proprietor or the profits of a limited company</t>
  </si>
  <si>
    <t>Repayment of business loans</t>
  </si>
  <si>
    <t>Net revenue (target earnings + repayment of business loans)</t>
  </si>
  <si>
    <t>Taxes on the income of a sole proprietor or the profit of a limited company</t>
  </si>
  <si>
    <t>Financial needs, i.e. your gross income (net income + taxes on income)</t>
  </si>
  <si>
    <t>Interest on business loans</t>
  </si>
  <si>
    <t>Total financing needs and interest on business loans</t>
  </si>
  <si>
    <t>Fixed business expenses (excluding value added tax)</t>
  </si>
  <si>
    <t>Pension insurance for self-employed persons (YEL)</t>
  </si>
  <si>
    <t>Other insurance policies</t>
  </si>
  <si>
    <t>Salaries of your employees</t>
  </si>
  <si>
    <t>Non-wage labour costs (approx. 40%)</t>
  </si>
  <si>
    <t>The entrepreneur’s own salary (does not apply to sole proprietorships)</t>
  </si>
  <si>
    <t>Rent and electricity</t>
  </si>
  <si>
    <t>Lease payments and other instalments</t>
  </si>
  <si>
    <t>Marketing</t>
  </si>
  <si>
    <t>Phone, internet</t>
  </si>
  <si>
    <t>Travel/car expenses</t>
  </si>
  <si>
    <t>Accounting</t>
  </si>
  <si>
    <t>Office expenses</t>
  </si>
  <si>
    <t>Training</t>
  </si>
  <si>
    <t>Magazines, etc.</t>
  </si>
  <si>
    <t>Repairs</t>
  </si>
  <si>
    <t>Unemployment insurance contribution for entrepreneurs</t>
  </si>
  <si>
    <t>Other potential expenses 1 (e.g. purchased services)</t>
  </si>
  <si>
    <t>Other possible expenses 2</t>
  </si>
  <si>
    <t>Other possible expenses 3</t>
  </si>
  <si>
    <t>Total fixed costs</t>
  </si>
  <si>
    <t>Required sales margin (target earnings and fixed costs in total)</t>
  </si>
  <si>
    <t>Required sales margin (financing needs + interest on business loans + fixed costs)</t>
  </si>
  <si>
    <t>Value added tax (default 25,5%)</t>
  </si>
  <si>
    <t>Total sales/invoicing (required sales margin + value added tax)</t>
  </si>
  <si>
    <t>Required sales margin (minimum)</t>
  </si>
  <si>
    <t>Includes value 
added tax</t>
  </si>
  <si>
    <t>Without tax 
per year</t>
  </si>
  <si>
    <t>In total</t>
  </si>
  <si>
    <t>Required monthly margin, €/month (e.g. 11 months per year)</t>
  </si>
  <si>
    <t>Required daily margin, €/day (e.g. 20 days per month)</t>
  </si>
  <si>
    <t>Required hourly margin, €/h (e.g. 8 hrs per day)</t>
  </si>
  <si>
    <t>Three-year growth percentage</t>
  </si>
  <si>
    <t>year 1</t>
  </si>
  <si>
    <t>year 2</t>
  </si>
  <si>
    <t>year 3</t>
  </si>
  <si>
    <t>Revenue growth (%)</t>
  </si>
  <si>
    <t>Do not fill in</t>
  </si>
  <si>
    <t>Expenditure growth (%)</t>
  </si>
  <si>
    <t>Profit and loss calculation for three years</t>
  </si>
  <si>
    <t>Sales revenue</t>
  </si>
  <si>
    <t>Value added tax</t>
  </si>
  <si>
    <t>Turnover</t>
  </si>
  <si>
    <t>Personnel expenses</t>
  </si>
  <si>
    <t>Rents</t>
  </si>
  <si>
    <t>Other business expenses</t>
  </si>
  <si>
    <t>Earnings before interest, taxes, depreciation, and amortization (EBITDA)</t>
  </si>
  <si>
    <t>Financial charges</t>
  </si>
  <si>
    <t>Taxes</t>
  </si>
  <si>
    <t>Financial result</t>
  </si>
  <si>
    <t>Depreciations</t>
  </si>
  <si>
    <t>Net profit</t>
  </si>
  <si>
    <t>Incidental income/expenses</t>
  </si>
  <si>
    <t>Gross income</t>
  </si>
  <si>
    <t>Instructions for the profitability calculation:</t>
  </si>
  <si>
    <r>
      <rPr>
        <b/>
        <sz val="14"/>
        <color theme="1"/>
        <rFont val="Arial"/>
        <family val="2"/>
      </rPr>
      <t xml:space="preserve">The net income of a sole proprietor or the profits of a limited company: </t>
    </r>
    <r>
      <rPr>
        <sz val="14"/>
        <color theme="1"/>
        <rFont val="Arial"/>
        <family val="2"/>
      </rPr>
      <t>‘Target earnings’ refers to the net income required for an entrepreneur to operate their business. You can calculate it by estimating how much money you will need per month for personal expenses (housing, food, clothes, etc.). You can also estimate your target earnings based on the net salary you receive from your job. In the case of a limited company, the salary is entered as a gross amount on line 17.</t>
    </r>
  </si>
  <si>
    <r>
      <rPr>
        <b/>
        <sz val="14"/>
        <color theme="1"/>
        <rFont val="Arial"/>
        <family val="2"/>
      </rPr>
      <t>Net income:</t>
    </r>
    <r>
      <rPr>
        <sz val="14"/>
        <color theme="1"/>
        <rFont val="Arial"/>
        <family val="2"/>
      </rPr>
      <t xml:space="preserve"> Business loan repayments are added to the target earnings to calculate net income. When you add taxes to net income, you arrive at your financing needs. When the interest on business loans is added to your financing needs, you get the amount that your business needs to earn for you to live on and service your business loans.</t>
    </r>
  </si>
  <si>
    <r>
      <rPr>
        <b/>
        <sz val="14"/>
        <color theme="1"/>
        <rFont val="Arial"/>
        <family val="2"/>
      </rPr>
      <t xml:space="preserve">Taxes on income: </t>
    </r>
    <r>
      <rPr>
        <sz val="14"/>
        <color theme="1"/>
        <rFont val="Arial"/>
        <family val="2"/>
      </rPr>
      <t>For example, a sole proprietor who earns €1800 net per month as an entrepreneur pays taxes of around €90 per month. Calculated with no other income, membership in a church (Evangelical Lutheran), and YEL paid according to the minimum earned income threshold. Learn more about your tax rate with the tax rate calculator on the Tax Administration’s website. The corporation tax rate for a limited company is always 20%, and in addition to this, entrepreneurs pay taxes on their earned income, i.e. their salary.</t>
    </r>
  </si>
  <si>
    <r>
      <rPr>
        <b/>
        <sz val="14"/>
        <color theme="1"/>
        <rFont val="Arial"/>
        <family val="2"/>
      </rPr>
      <t xml:space="preserve">Fixed costs: </t>
    </r>
    <r>
      <rPr>
        <sz val="14"/>
        <color theme="1"/>
        <rFont val="Arial"/>
        <family val="2"/>
      </rPr>
      <t>Fixed costs are expenses that do not depend on a company’s amount of billing but remain relatively constant from month to month. Fixed costs include the salaries of other employees, insurance policies, rent, office expenses, electricity/water, etc.</t>
    </r>
  </si>
  <si>
    <r>
      <rPr>
        <b/>
        <sz val="14"/>
        <color theme="1"/>
        <rFont val="Arial"/>
        <family val="2"/>
      </rPr>
      <t xml:space="preserve">Required sales margin: </t>
    </r>
    <r>
      <rPr>
        <sz val="14"/>
        <color theme="1"/>
        <rFont val="Arial"/>
        <family val="2"/>
      </rPr>
      <t>When you add together the financing needs of the business, interest on business loans, and fixed costs, the result is the required sales margin.</t>
    </r>
  </si>
  <si>
    <r>
      <rPr>
        <b/>
        <sz val="14"/>
        <color theme="1"/>
        <rFont val="Arial"/>
        <family val="2"/>
      </rPr>
      <t xml:space="preserve">Value added tax: </t>
    </r>
    <r>
      <rPr>
        <sz val="14"/>
        <color theme="1"/>
        <rFont val="Arial"/>
        <family val="2"/>
      </rPr>
      <t>Value added tax depends to some degree on the goods or services sold.</t>
    </r>
  </si>
  <si>
    <r>
      <rPr>
        <b/>
        <sz val="14"/>
        <color theme="1"/>
        <rFont val="Arial"/>
        <family val="2"/>
      </rPr>
      <t xml:space="preserve">Total sales/invoicing: </t>
    </r>
    <r>
      <rPr>
        <sz val="14"/>
        <color theme="1"/>
        <rFont val="Arial"/>
        <family val="2"/>
      </rPr>
      <t>Total sales/invoicing is the sum of turnover and value added tax.</t>
    </r>
  </si>
  <si>
    <r>
      <rPr>
        <b/>
        <sz val="14"/>
        <color theme="1"/>
        <rFont val="Arial"/>
        <family val="2"/>
      </rPr>
      <t xml:space="preserve">Required sales margin (minimum): </t>
    </r>
    <r>
      <rPr>
        <sz val="14"/>
        <color theme="1"/>
        <rFont val="Arial"/>
        <family val="2"/>
      </rPr>
      <t>This will help you calculate the 
monthly, daily and hourly billing needs for your business. Please note that your business may not always be able to bill for full months, days or hours. Estimate how many days or hours your business can bill customers each month.</t>
    </r>
  </si>
  <si>
    <r>
      <t xml:space="preserve">Three-year growth percentage: </t>
    </r>
    <r>
      <rPr>
        <sz val="14"/>
        <color theme="1"/>
        <rFont val="Arial"/>
        <family val="2"/>
      </rPr>
      <t>You can change the growth rates for income and expenses.</t>
    </r>
  </si>
  <si>
    <t>Right edge of the profitability calculation tab.</t>
  </si>
  <si>
    <t>End of the profitability calculation tab.</t>
  </si>
  <si>
    <t>Monthly sales calculation tab. This tab lets you calculate your monthly sales for six product/product groups. Fill in the names of the products/product groups. This tab has three tables: the ‘Product prices’ table, the ‘Product sales volume’ table, and the ‘Sales summary’ table. The ‘Fill in the product prices’ table shows the prices and costs of the products, excluding tax. In the ‘Sales volume of products’ table, fill in the ‘Quantity’ columns. The ‘Price’ columns will be filled in automatically. Replace ‘Customer 1’, ‘Customer 2’, etc., with real customer names. The other tables will be filled in automatically.</t>
  </si>
  <si>
    <t>Monthly sales calculation products/services</t>
  </si>
  <si>
    <t>Product/Product group names 
(fill to the right):</t>
  </si>
  <si>
    <t>Product/Service 1</t>
  </si>
  <si>
    <t>Product/Service 2</t>
  </si>
  <si>
    <t>Product/Service 3</t>
  </si>
  <si>
    <t>Product/Service 4</t>
  </si>
  <si>
    <t>Product/Service 5</t>
  </si>
  <si>
    <t>Product/Service 6</t>
  </si>
  <si>
    <t>Product/Product group prices, 
€/month without value added tax</t>
  </si>
  <si>
    <t>Price 1 
 excluding tax</t>
  </si>
  <si>
    <t>Costs 1</t>
  </si>
  <si>
    <t>Price 2 
 excluding tax</t>
  </si>
  <si>
    <t>Costs 2</t>
  </si>
  <si>
    <t>Price 3 
 excluding tax</t>
  </si>
  <si>
    <t>Costs 3</t>
  </si>
  <si>
    <t>Price 4 
 excluding tax</t>
  </si>
  <si>
    <t>Costs 4</t>
  </si>
  <si>
    <t>Price 5 
 excluding tax</t>
  </si>
  <si>
    <t>Costs 5</t>
  </si>
  <si>
    <t>Price 6 
 excluding tax</t>
  </si>
  <si>
    <t>Costs 6</t>
  </si>
  <si>
    <t>Product/product group price and costs excluding tax</t>
  </si>
  <si>
    <t>Product/product group margin</t>
  </si>
  <si>
    <t>Products/services sold per customer 
(name the customer/customer group)</t>
  </si>
  <si>
    <t>Quantity 1</t>
  </si>
  <si>
    <t>Margin 
in total 1</t>
  </si>
  <si>
    <t>Quantity 2</t>
  </si>
  <si>
    <t>Margin 
in total 2</t>
  </si>
  <si>
    <t>Quantity 3</t>
  </si>
  <si>
    <t>Margin 
in total 3</t>
  </si>
  <si>
    <t>Quantity 4</t>
  </si>
  <si>
    <t>Margin 
in total 4</t>
  </si>
  <si>
    <t>Quantity 5</t>
  </si>
  <si>
    <t>Margin 
in total 5</t>
  </si>
  <si>
    <t>Quantity 6</t>
  </si>
  <si>
    <t>Margin 
in total 6</t>
  </si>
  <si>
    <t>All products</t>
  </si>
  <si>
    <t>Customer group 1</t>
  </si>
  <si>
    <t>Customer group 2</t>
  </si>
  <si>
    <t>Customer group 3</t>
  </si>
  <si>
    <t>Customer group 4</t>
  </si>
  <si>
    <t>Customer group 5</t>
  </si>
  <si>
    <t>Customer group 6</t>
  </si>
  <si>
    <t>Total for products sold</t>
  </si>
  <si>
    <t>Total sales margin</t>
  </si>
  <si>
    <t>Total product sales</t>
  </si>
  <si>
    <t>Total expenses</t>
  </si>
  <si>
    <t>Summary of sales</t>
  </si>
  <si>
    <t>Per year</t>
  </si>
  <si>
    <t>Turnover (excluding VAT)</t>
  </si>
  <si>
    <t>Required sales margin in the profitability calculation</t>
  </si>
  <si>
    <t>Difference (must be positive for operations to be profitable)</t>
  </si>
  <si>
    <t>Operating profit margin (Target approx. 10%. Review profitability if less than 5%)</t>
  </si>
  <si>
    <t>Right edge of the monthly sales calculation tab.</t>
  </si>
  <si>
    <t>End of the monthly sales calculation tab.</t>
  </si>
  <si>
    <t>Cash flow calculation for the first year tab. This tab contains the cash flow calculation tables for the first year. At the bottom of this tab, you will find ‘Instructions for the cash flow calculation’, which provide more detailed instructions for filling in specific cells. The instructions are also in the cell notes. In the ‘Start of financial year’ cell, you can enter the date of the start of the financial year. You can fill in the ‘Value added tax rate’ cell with the percentage you want to apply. The tables on the tab are divided into an estimate column and twelve columns, one per month. This tab has seven tables: the ‘Opening balance’ table, ‘Cash receipts’ table, ‘Opening balance and income’ table, ‘Cash payment VAT’ table, ‘Cash payment’ table, ‘Financing’ table, and ‘Liquidity at the end of the month’ table. Fill in the ‘Cash receipts’ table, the ‘Cash payments VAT’ table, the ‘Cash payments’ table and the ‘Financing’ table. Once filled in, you will find the totals at the bottom and right-hand sides of the tables. You can fill in the ‘Estimate’ column in the ‘Opening balance’ table. The other tables will be filled in automatically.</t>
  </si>
  <si>
    <t>Cash flow calculation</t>
  </si>
  <si>
    <t>FIRST YEAR</t>
  </si>
  <si>
    <t>Value added tax rate (fill in below):</t>
  </si>
  <si>
    <t>The financial year starts (fill in below):</t>
  </si>
  <si>
    <t>Opening balance, i.e. cash reserves at the beginning of the period</t>
  </si>
  <si>
    <t>Liquidity in the last period</t>
  </si>
  <si>
    <t>Cash receipts, i.e. revenues</t>
  </si>
  <si>
    <t>Cash sales (VAT 0%)</t>
  </si>
  <si>
    <t>Payments on sales receivables (VAT 0%)</t>
  </si>
  <si>
    <t>Other revenue (VAT 0%)</t>
  </si>
  <si>
    <t>Total</t>
  </si>
  <si>
    <t>Total (including VAT)</t>
  </si>
  <si>
    <t>(Before) start-up</t>
  </si>
  <si>
    <t>Estimate</t>
  </si>
  <si>
    <t>Period 1</t>
  </si>
  <si>
    <t>Period 2</t>
  </si>
  <si>
    <t>Period 3</t>
  </si>
  <si>
    <t>Period 4</t>
  </si>
  <si>
    <t>Period 5</t>
  </si>
  <si>
    <t>Period 6</t>
  </si>
  <si>
    <t>Period 7</t>
  </si>
  <si>
    <t>Period 8</t>
  </si>
  <si>
    <t>Period 9</t>
  </si>
  <si>
    <t>Period 10</t>
  </si>
  <si>
    <t>Period 11</t>
  </si>
  <si>
    <t>Period 12</t>
  </si>
  <si>
    <t>Nominal estimate</t>
  </si>
  <si>
    <t>Opening balance and revenue</t>
  </si>
  <si>
    <t>Sum of opening balance and revenues</t>
  </si>
  <si>
    <t>Cash payments (including VAT)</t>
  </si>
  <si>
    <t>Purchases (VAT 0%)</t>
  </si>
  <si>
    <t>Purchases (including VAT)</t>
  </si>
  <si>
    <t>Value added tax from the previous period (difference payable)</t>
  </si>
  <si>
    <t>Increase in liquidity</t>
  </si>
  <si>
    <t>Instructions for the cash flow calculation:</t>
  </si>
  <si>
    <r>
      <rPr>
        <b/>
        <sz val="14"/>
        <color theme="1"/>
        <rFont val="Arial"/>
        <family val="2"/>
      </rPr>
      <t>Value added tax from the previous period:
Negative figure = VAT refund from the tax authorities.
Positive figure = VAT payable to the tax authorities.</t>
    </r>
    <r>
      <rPr>
        <sz val="14"/>
        <color theme="1"/>
        <rFont val="Arial"/>
        <family val="2"/>
      </rPr>
      <t xml:space="preserve">
The date for reporting and paying value added tax (VAT) is the 12th day of the second month after the end of the tax period. So, for example, VAT for January is due by 12 March. PLEASE NOTE! This calculation is simplified for value added tax. VAT on income-generating expenses (other than purchases) can also be deducted for VAT purposes.</t>
    </r>
  </si>
  <si>
    <t>Cash payments (VAT 0%)</t>
  </si>
  <si>
    <t>Payments on accounts payable</t>
  </si>
  <si>
    <t>Salaries</t>
  </si>
  <si>
    <t>Tax withholding and social security contributions / TyEL</t>
  </si>
  <si>
    <t>Interest</t>
  </si>
  <si>
    <t>Other expenses 1</t>
  </si>
  <si>
    <t>Other expenses 2</t>
  </si>
  <si>
    <t>Total cash payments</t>
  </si>
  <si>
    <t>Financing</t>
  </si>
  <si>
    <t>Loan repayments, excluded from financing</t>
  </si>
  <si>
    <t>Loan withdrawals</t>
  </si>
  <si>
    <t>Owner investments</t>
  </si>
  <si>
    <t>Owners’ personal withdrawals, excluded from financing</t>
  </si>
  <si>
    <t>Other financing 1</t>
  </si>
  <si>
    <t>Other financing 2</t>
  </si>
  <si>
    <t>Total financing</t>
  </si>
  <si>
    <t>Liquidity (at the end of the month)</t>
  </si>
  <si>
    <t>Cash and cash equivalents = 
(opening balance + revenues + financing) - cash payments</t>
  </si>
  <si>
    <t>Right edge of the cash flow calculation for the first year tab.</t>
  </si>
  <si>
    <t>End of the cash flow calculation for the first year tab.</t>
  </si>
  <si>
    <t>Cash flow calculation for the second year tab. This tab contains the cash flow calculation tables for the second year. At the bottom of this tab, you will find ‘Instructions for the cash flow calculation’, which provide more detailed instructions for filling in specific cells. The instructions are also in the cell notes. In the ‘Start of financial year’ cell, you can enter the date of the start of the financial year. You can fill in the ‘Value added tax rate’ cell with the percentage you want to apply. The tables on the tab are divided into an estimate column and twelve columns, one per month. This tab has seven tables: the ‘Opening balance’ table, ‘Cash receipts’ table, ‘Opening balance and income’ table, ‘Cash payment VAT’ table, ‘Cash payment’ table, ‘Financing’ table, and ‘Liquidity at the end of the month’ table. Fill in the ‘Cash receipts’ table, the ‘Cash payments VAT’ table, the ‘Cash payments’ table and the ‘Financing’ table. Once filled in, you will find the totals at the bottom and right-hand sides of the tables. You can fill in the ‘Estimate’ column in the ‘Opening balance’ table. The other tables will be filled in automatically.</t>
  </si>
  <si>
    <t>SECOND YEAR</t>
  </si>
  <si>
    <t>Right edge of the cash flow calculation for the second year tab.</t>
  </si>
  <si>
    <t>End of the cash flow calculation for the second year tab.</t>
  </si>
  <si>
    <t>Cash flow calculation for the third year tab. This tab contains the cash flow calculation tables for the third year. At the bottom of this tab, you will find ‘Instructions for the cash flow calculation’, which provide more detailed instructions for filling in specific cells. The instructions are also in the cell notes. In the ‘Start of financial year’ cell, you can enter the date of the start of the financial year. You can fill in the ‘Value added tax rate’ cell with the percentage you want to apply. The tables on the tab are divided into an estimate column and twelve columns, one per month. This tab has seven tables: the ‘Opening balance’ table, ‘Cash receipts’ table, ‘Opening balance and income’ table, ‘Cash payment VAT’ table, ‘Cash payment’ table, ‘Financing’ table, and ‘Liquidity at the end of the month’ table. Fill in the ‘Cash receipts’ table, the ‘Cash payments VAT’ table, the ‘Cash payments’ table and the ‘Financing’ table. Once filled in, you will find the totals at the bottom and right-hand sides of the tables. You can fill in the ‘Estimate’ column in the ‘Opening balance’ table. The other tables will be filled in automatically.</t>
  </si>
  <si>
    <t>THIRD YEAR</t>
  </si>
  <si>
    <r>
      <t>Value added tax from the previous period:
Negative figure = VAT refund from the tax authorities.
Positive figure = VAT payable to the tax authorities.</t>
    </r>
    <r>
      <rPr>
        <sz val="14"/>
        <color theme="1"/>
        <rFont val="Arial"/>
        <family val="2"/>
      </rPr>
      <t xml:space="preserve">
The date for reporting and paying value added tax (VAT) is the 12th day of the second month after the end of the tax period. So, for example, VAT for January is due by 12 March. PLEASE NOTE! This calculation is simplified for value added tax. VAT on income-generating expenses (other than purchases) can also be deducted for VAT purposes.</t>
    </r>
  </si>
  <si>
    <t>Right edge of the cash flow calculation for the third year tab.</t>
  </si>
  <si>
    <t>End of the cash flow calculation for the third year tab.</t>
  </si>
  <si>
    <t>Will not fill in</t>
  </si>
  <si>
    <r>
      <rPr>
        <b/>
        <sz val="14"/>
        <color theme="1"/>
        <rFont val="Arial"/>
        <family val="2"/>
      </rPr>
      <t xml:space="preserve">Business start-up costs: </t>
    </r>
    <r>
      <rPr>
        <sz val="14"/>
        <color theme="1"/>
        <rFont val="Arial"/>
        <family val="2"/>
      </rPr>
      <t>Registering a sole proprietorship costs €75, while registering a limited liability company costs €300. Start-up costs may also include expenses such as drawing up a shareholders’ agreement or obtaining sector-specific permits.</t>
    </r>
  </si>
  <si>
    <r>
      <rPr>
        <b/>
        <sz val="14"/>
        <color theme="1"/>
        <rFont val="Arial"/>
        <family val="2"/>
      </rPr>
      <t xml:space="preserve">Pension insurance for self-employed persons: </t>
    </r>
    <r>
      <rPr>
        <sz val="14"/>
        <color theme="1"/>
        <rFont val="Arial"/>
        <family val="2"/>
      </rPr>
      <t>The self-employed person’s pension insurance contribution (YEL) is mandatory and is assessed based on the person’s confirmed income from self-employment. New entrepreneurs receive a 22% discount for the first 48 months. For example, based on an annual income of €15 481, the reduced monthly YEL contribution for a person under 53 is €246/month. Employee pension insurance (TyEL) is compulsory when a company hires an employee.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</si>
</sst>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7" formatCode="#,##0.00\ &quot;€&quot;;\-#,##0.00\ &quot;€&quot;"/>
    <numFmt numFmtId="43" formatCode="_-* #,##0.00_-;\-* #,##0.00_-;_-* &quot;-&quot;??_-;_-@_-"/>
    <numFmt numFmtId="164" formatCode="#,##0\ &quot;€&quot;"/>
    <numFmt numFmtId="165" formatCode="#,##0.00\ &quot;€&quot;"/>
    <numFmt numFmtId="166" formatCode="0.0"/>
  </numFmts>
  <fonts count="19" x14ac:knownFonts="1">
    <font>
      <sz val="12"/>
      <color theme="1"/>
      <name val="Calibri"/>
      <family val="2"/>
      <scheme val="minor"/>
    </font>
    <font>
      <b/>
      <sz val="16"/>
      <color theme="1"/>
      <name val="Arial"/>
      <family val="2"/>
    </font>
    <font>
      <sz val="14"/>
      <color theme="1"/>
      <name val="Arial"/>
      <family val="2"/>
    </font>
    <font>
      <sz val="12"/>
      <color rgb="FF000000"/>
      <name val="Arial"/>
      <family val="34"/>
    </font>
    <font>
      <b/>
      <sz val="12"/>
      <color rgb="FF000000"/>
      <name val="Arial"/>
      <family val="34"/>
    </font>
    <font>
      <b/>
      <sz val="14"/>
      <color theme="0"/>
      <name val="Arial"/>
      <family val="2"/>
    </font>
    <font>
      <i/>
      <sz val="14"/>
      <color theme="0"/>
      <name val="Arial"/>
      <family val="2"/>
    </font>
    <font>
      <sz val="14"/>
      <color theme="0"/>
      <name val="Arial"/>
      <family val="2"/>
    </font>
    <font>
      <b/>
      <sz val="14"/>
      <color theme="1"/>
      <name val="Arial"/>
      <family val="2"/>
    </font>
    <font>
      <b/>
      <sz val="14"/>
      <name val="Arial"/>
      <family val="2"/>
    </font>
    <font>
      <i/>
      <sz val="14"/>
      <color theme="4" tint="0.79998168889431442"/>
      <name val="Arial"/>
      <family val="2"/>
    </font>
    <font>
      <i/>
      <sz val="14"/>
      <color theme="1"/>
      <name val="Arial"/>
      <family val="2"/>
    </font>
    <font>
      <sz val="14"/>
      <color rgb="FF000000"/>
      <name val="Arial"/>
      <family val="2"/>
    </font>
    <font>
      <sz val="8"/>
      <name val="Calibri"/>
      <family val="2"/>
      <scheme val="minor"/>
    </font>
    <font>
      <u/>
      <sz val="12"/>
      <color theme="10"/>
      <name val="Calibri"/>
      <family val="2"/>
      <scheme val="minor"/>
    </font>
    <font>
      <u/>
      <sz val="14"/>
      <color theme="10"/>
      <name val="Arial"/>
      <family val="2"/>
    </font>
    <font>
      <sz val="10"/>
      <name val="Arial"/>
      <family val="2"/>
    </font>
    <font>
      <sz val="12"/>
      <color rgb="FF000000"/>
      <name val="Calibri"/>
      <family val="2"/>
      <scheme val="minor"/>
    </font>
    <font>
      <sz val="12"/>
      <color theme="1"/>
      <name val="Calibri"/>
      <family val="2"/>
      <scheme val="minor"/>
    </font>
  </fonts>
  <fills count="8">
    <fill>
      <patternFill patternType="none"/>
    </fill>
    <fill>
      <patternFill patternType="gray125"/>
    </fill>
    <fill>
      <patternFill patternType="solid">
        <fgColor theme="4" tint="0.79998168889431442"/>
        <bgColor indexed="64"/>
      </patternFill>
    </fill>
    <fill>
      <patternFill patternType="solid">
        <fgColor theme="4" tint="-0.499984740745262"/>
        <bgColor indexed="64"/>
      </patternFill>
    </fill>
    <fill>
      <patternFill patternType="solid">
        <fgColor theme="7" tint="0.79998168889431442"/>
        <bgColor indexed="64"/>
      </patternFill>
    </fill>
    <fill>
      <patternFill patternType="solid">
        <fgColor theme="0"/>
        <bgColor indexed="64"/>
      </patternFill>
    </fill>
    <fill>
      <patternFill patternType="solid">
        <fgColor rgb="FFF1DBFF"/>
        <bgColor indexed="64"/>
      </patternFill>
    </fill>
    <fill>
      <patternFill patternType="solid">
        <fgColor rgb="FFFFFBF2"/>
        <bgColor indexed="64"/>
      </patternFill>
    </fill>
  </fills>
  <borders count="105">
    <border>
      <left/>
      <right/>
      <top/>
      <bottom/>
      <diagonal/>
    </border>
    <border>
      <left/>
      <right/>
      <top style="thin">
        <color theme="4" tint="0.39997558519241921"/>
      </top>
      <bottom style="thin">
        <color theme="4" tint="0.39997558519241921"/>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4" tint="0.39997558519241921"/>
      </top>
      <bottom style="thin">
        <color theme="4" tint="0.39997558519241921"/>
      </bottom>
      <diagonal/>
    </border>
    <border>
      <left style="thin">
        <color theme="4" tint="0.39997558519241921"/>
      </left>
      <right style="thin">
        <color theme="4" tint="0.39994506668294322"/>
      </right>
      <top style="thin">
        <color theme="0"/>
      </top>
      <bottom/>
      <diagonal/>
    </border>
    <border>
      <left style="thin">
        <color theme="4" tint="0.39994506668294322"/>
      </left>
      <right style="thin">
        <color theme="4" tint="0.39994506668294322"/>
      </right>
      <top style="thin">
        <color theme="0"/>
      </top>
      <bottom/>
      <diagonal/>
    </border>
    <border>
      <left style="thin">
        <color theme="4" tint="0.39994506668294322"/>
      </left>
      <right style="thin">
        <color theme="4" tint="0.39997558519241921"/>
      </right>
      <top style="thin">
        <color theme="0"/>
      </top>
      <bottom/>
      <diagonal/>
    </border>
    <border>
      <left style="thin">
        <color theme="4" tint="0.39997558519241921"/>
      </left>
      <right style="thin">
        <color theme="4" tint="0.39994506668294322"/>
      </right>
      <top style="thin">
        <color theme="4" tint="0.39997558519241921"/>
      </top>
      <bottom style="thin">
        <color theme="4" tint="0.39997558519241921"/>
      </bottom>
      <diagonal/>
    </border>
    <border>
      <left style="thin">
        <color theme="4" tint="0.39994506668294322"/>
      </left>
      <right style="thin">
        <color theme="4" tint="0.39994506668294322"/>
      </right>
      <top style="thin">
        <color theme="4" tint="0.39997558519241921"/>
      </top>
      <bottom style="thin">
        <color theme="4" tint="0.39997558519241921"/>
      </bottom>
      <diagonal/>
    </border>
    <border>
      <left style="thin">
        <color theme="4" tint="0.39994506668294322"/>
      </left>
      <right style="thin">
        <color theme="4" tint="0.39997558519241921"/>
      </right>
      <top style="thin">
        <color theme="4" tint="0.39997558519241921"/>
      </top>
      <bottom style="thin">
        <color theme="4" tint="0.39997558519241921"/>
      </bottom>
      <diagonal/>
    </border>
    <border>
      <left/>
      <right style="thin">
        <color theme="4" tint="0.39994506668294322"/>
      </right>
      <top style="thin">
        <color theme="0"/>
      </top>
      <bottom style="thin">
        <color theme="4" tint="0.39994506668294322"/>
      </bottom>
      <diagonal/>
    </border>
    <border>
      <left style="thin">
        <color theme="4" tint="0.39994506668294322"/>
      </left>
      <right style="thin">
        <color theme="4" tint="0.39994506668294322"/>
      </right>
      <top style="thin">
        <color theme="0"/>
      </top>
      <bottom style="thin">
        <color theme="4" tint="0.39994506668294322"/>
      </bottom>
      <diagonal/>
    </border>
    <border>
      <left style="thin">
        <color theme="4" tint="0.39994506668294322"/>
      </left>
      <right style="thin">
        <color theme="0"/>
      </right>
      <top style="thin">
        <color theme="0"/>
      </top>
      <bottom style="thin">
        <color theme="4" tint="0.39994506668294322"/>
      </bottom>
      <diagonal/>
    </border>
    <border>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0"/>
      </right>
      <top style="thin">
        <color theme="4" tint="0.39994506668294322"/>
      </top>
      <bottom style="thin">
        <color theme="4" tint="0.39994506668294322"/>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style="thin">
        <color theme="4" tint="0.39994506668294322"/>
      </right>
      <top style="thin">
        <color theme="4" tint="0.39994506668294322"/>
      </top>
      <bottom style="thin">
        <color theme="0"/>
      </bottom>
      <diagonal/>
    </border>
    <border>
      <left style="thin">
        <color theme="4" tint="0.39994506668294322"/>
      </left>
      <right style="thin">
        <color theme="4" tint="0.39994506668294322"/>
      </right>
      <top style="thin">
        <color theme="4" tint="0.39994506668294322"/>
      </top>
      <bottom style="thin">
        <color theme="0"/>
      </bottom>
      <diagonal/>
    </border>
    <border>
      <left style="thin">
        <color theme="4" tint="0.39994506668294322"/>
      </left>
      <right style="thin">
        <color theme="0"/>
      </right>
      <top style="thin">
        <color theme="4" tint="0.39994506668294322"/>
      </top>
      <bottom style="thin">
        <color theme="0"/>
      </bottom>
      <diagonal/>
    </border>
    <border>
      <left style="thin">
        <color theme="4" tint="0.39994506668294322"/>
      </left>
      <right style="thin">
        <color theme="4" tint="0.39994506668294322"/>
      </right>
      <top style="thin">
        <color theme="4" tint="0.39994506668294322"/>
      </top>
      <bottom/>
      <diagonal/>
    </border>
    <border>
      <left/>
      <right style="thin">
        <color theme="4" tint="0.39994506668294322"/>
      </right>
      <top style="thin">
        <color theme="4" tint="0.39994506668294322"/>
      </top>
      <bottom/>
      <diagonal/>
    </border>
    <border>
      <left style="thin">
        <color theme="4" tint="0.39994506668294322"/>
      </left>
      <right style="thin">
        <color theme="0"/>
      </right>
      <top style="thin">
        <color theme="4" tint="0.39994506668294322"/>
      </top>
      <bottom/>
      <diagonal/>
    </border>
    <border>
      <left/>
      <right style="thin">
        <color theme="4" tint="0.39994506668294322"/>
      </right>
      <top style="dashDot">
        <color theme="4" tint="0.39997558519241921"/>
      </top>
      <bottom style="thin">
        <color theme="4" tint="0.39994506668294322"/>
      </bottom>
      <diagonal/>
    </border>
    <border>
      <left style="thin">
        <color theme="4" tint="0.39994506668294322"/>
      </left>
      <right style="thin">
        <color theme="4" tint="0.39994506668294322"/>
      </right>
      <top style="dashDot">
        <color theme="4" tint="0.39997558519241921"/>
      </top>
      <bottom style="thin">
        <color theme="4" tint="0.39994506668294322"/>
      </bottom>
      <diagonal/>
    </border>
    <border>
      <left style="thin">
        <color theme="4" tint="0.39994506668294322"/>
      </left>
      <right style="thin">
        <color theme="0"/>
      </right>
      <top style="dashDot">
        <color theme="4" tint="0.39997558519241921"/>
      </top>
      <bottom style="thin">
        <color theme="4" tint="0.39994506668294322"/>
      </bottom>
      <diagonal/>
    </border>
    <border>
      <left style="thin">
        <color theme="4" tint="0.39997558519241921"/>
      </left>
      <right style="thin">
        <color theme="4" tint="0.39994506668294322"/>
      </right>
      <top style="thin">
        <color theme="4" tint="0.39997558519241921"/>
      </top>
      <bottom style="medium">
        <color theme="4"/>
      </bottom>
      <diagonal/>
    </border>
    <border>
      <left style="thin">
        <color theme="4" tint="0.39994506668294322"/>
      </left>
      <right style="thin">
        <color theme="4" tint="0.39994506668294322"/>
      </right>
      <top style="thin">
        <color theme="4" tint="0.39997558519241921"/>
      </top>
      <bottom style="medium">
        <color theme="4"/>
      </bottom>
      <diagonal/>
    </border>
    <border>
      <left/>
      <right style="thin">
        <color theme="4" tint="0.39994506668294322"/>
      </right>
      <top style="thin">
        <color theme="4" tint="0.39994506668294322"/>
      </top>
      <bottom style="medium">
        <color theme="4"/>
      </bottom>
      <diagonal/>
    </border>
    <border>
      <left style="thin">
        <color theme="4" tint="0.39994506668294322"/>
      </left>
      <right style="thin">
        <color theme="4" tint="0.39994506668294322"/>
      </right>
      <top style="thin">
        <color theme="4" tint="0.39994506668294322"/>
      </top>
      <bottom style="medium">
        <color theme="4"/>
      </bottom>
      <diagonal/>
    </border>
    <border>
      <left style="thin">
        <color theme="4" tint="0.39994506668294322"/>
      </left>
      <right style="thin">
        <color theme="0"/>
      </right>
      <top style="thin">
        <color theme="4" tint="0.39994506668294322"/>
      </top>
      <bottom style="medium">
        <color theme="4"/>
      </bottom>
      <diagonal/>
    </border>
    <border>
      <left/>
      <right style="thin">
        <color theme="0"/>
      </right>
      <top style="thin">
        <color theme="4" tint="0.39997558519241921"/>
      </top>
      <bottom style="medium">
        <color theme="4"/>
      </bottom>
      <diagonal/>
    </border>
    <border>
      <left/>
      <right/>
      <top style="thin">
        <color theme="4" tint="0.39997558519241921"/>
      </top>
      <bottom style="medium">
        <color theme="4"/>
      </bottom>
      <diagonal/>
    </border>
    <border>
      <left style="thin">
        <color theme="4" tint="0.39994506668294322"/>
      </left>
      <right style="thin">
        <color theme="4" tint="0.39997558519241921"/>
      </right>
      <top style="thin">
        <color theme="4" tint="0.39997558519241921"/>
      </top>
      <bottom style="medium">
        <color theme="4"/>
      </bottom>
      <diagonal/>
    </border>
    <border>
      <left style="thin">
        <color theme="4" tint="0.39994506668294322"/>
      </left>
      <right style="thin">
        <color theme="0"/>
      </right>
      <top/>
      <bottom style="thin">
        <color theme="4" tint="0.39994506668294322"/>
      </bottom>
      <diagonal/>
    </border>
    <border>
      <left/>
      <right style="thin">
        <color theme="4" tint="0.79998168889431442"/>
      </right>
      <top style="thin">
        <color theme="0"/>
      </top>
      <bottom style="thin">
        <color theme="4" tint="0.39994506668294322"/>
      </bottom>
      <diagonal/>
    </border>
    <border>
      <left style="thin">
        <color theme="4" tint="0.79998168889431442"/>
      </left>
      <right style="thin">
        <color theme="0"/>
      </right>
      <top style="thin">
        <color theme="0"/>
      </top>
      <bottom style="thin">
        <color theme="4" tint="0.39994506668294322"/>
      </bottom>
      <diagonal/>
    </border>
    <border>
      <left/>
      <right style="thin">
        <color theme="4" tint="0.79998168889431442"/>
      </right>
      <top style="thin">
        <color theme="4" tint="0.39994506668294322"/>
      </top>
      <bottom style="thin">
        <color theme="4" tint="0.39994506668294322"/>
      </bottom>
      <diagonal/>
    </border>
    <border>
      <left style="thin">
        <color theme="4" tint="0.79998168889431442"/>
      </left>
      <right style="thin">
        <color theme="0"/>
      </right>
      <top style="thin">
        <color theme="4" tint="0.39994506668294322"/>
      </top>
      <bottom style="thin">
        <color theme="4" tint="0.39994506668294322"/>
      </bottom>
      <diagonal/>
    </border>
    <border>
      <left style="thin">
        <color theme="0"/>
      </left>
      <right style="thin">
        <color theme="0"/>
      </right>
      <top style="medium">
        <color theme="4"/>
      </top>
      <bottom style="thin">
        <color theme="0"/>
      </bottom>
      <diagonal/>
    </border>
    <border>
      <left/>
      <right style="thin">
        <color theme="0"/>
      </right>
      <top style="medium">
        <color theme="4"/>
      </top>
      <bottom style="thin">
        <color theme="0"/>
      </bottom>
      <diagonal/>
    </border>
    <border>
      <left style="thin">
        <color theme="4" tint="0.39994506668294322"/>
      </left>
      <right/>
      <top style="thin">
        <color theme="4" tint="0.39994506668294322"/>
      </top>
      <bottom style="thin">
        <color theme="4" tint="0.39994506668294322"/>
      </bottom>
      <diagonal/>
    </border>
    <border>
      <left/>
      <right/>
      <top style="thin">
        <color theme="0"/>
      </top>
      <bottom style="thin">
        <color theme="4" tint="0.39994506668294322"/>
      </bottom>
      <diagonal/>
    </border>
    <border>
      <left/>
      <right/>
      <top style="thin">
        <color theme="4" tint="0.39994506668294322"/>
      </top>
      <bottom style="thin">
        <color theme="4" tint="0.39994506668294322"/>
      </bottom>
      <diagonal/>
    </border>
    <border>
      <left/>
      <right/>
      <top style="thin">
        <color theme="4" tint="0.39994506668294322"/>
      </top>
      <bottom/>
      <diagonal/>
    </border>
    <border>
      <left/>
      <right/>
      <top style="dashDot">
        <color theme="4" tint="0.39997558519241921"/>
      </top>
      <bottom style="thin">
        <color theme="4" tint="0.39994506668294322"/>
      </bottom>
      <diagonal/>
    </border>
    <border>
      <left/>
      <right/>
      <top style="thin">
        <color theme="4" tint="0.39994506668294322"/>
      </top>
      <bottom style="medium">
        <color theme="4"/>
      </bottom>
      <diagonal/>
    </border>
    <border>
      <left/>
      <right/>
      <top style="medium">
        <color theme="4"/>
      </top>
      <bottom/>
      <diagonal/>
    </border>
    <border>
      <left/>
      <right/>
      <top style="medium">
        <color theme="4"/>
      </top>
      <bottom style="medium">
        <color theme="4"/>
      </bottom>
      <diagonal/>
    </border>
    <border>
      <left/>
      <right style="thin">
        <color theme="0"/>
      </right>
      <top style="medium">
        <color theme="4"/>
      </top>
      <bottom style="medium">
        <color theme="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4" tint="0.39994506668294322"/>
      </bottom>
      <diagonal/>
    </border>
    <border>
      <left/>
      <right style="thin">
        <color theme="0"/>
      </right>
      <top style="thin">
        <color theme="4" tint="0.39994506668294322"/>
      </top>
      <bottom style="thin">
        <color theme="4" tint="0.39994506668294322"/>
      </bottom>
      <diagonal/>
    </border>
    <border>
      <left style="thick">
        <color theme="4" tint="-0.499984740745262"/>
      </left>
      <right/>
      <top style="thin">
        <color theme="0"/>
      </top>
      <bottom style="thin">
        <color theme="4" tint="0.39994506668294322"/>
      </bottom>
      <diagonal/>
    </border>
    <border>
      <left/>
      <right style="thick">
        <color theme="4" tint="-0.499984740745262"/>
      </right>
      <top style="thin">
        <color theme="0"/>
      </top>
      <bottom style="thin">
        <color theme="4" tint="0.39994506668294322"/>
      </bottom>
      <diagonal/>
    </border>
    <border>
      <left style="thick">
        <color theme="4" tint="-0.499984740745262"/>
      </left>
      <right style="thin">
        <color theme="4" tint="0.39994506668294322"/>
      </right>
      <top style="thin">
        <color theme="4" tint="0.39994506668294322"/>
      </top>
      <bottom style="medium">
        <color theme="4"/>
      </bottom>
      <diagonal/>
    </border>
    <border>
      <left/>
      <right style="thick">
        <color theme="4" tint="-0.499984740745262"/>
      </right>
      <top style="thin">
        <color theme="4" tint="0.39994506668294322"/>
      </top>
      <bottom style="medium">
        <color theme="4"/>
      </bottom>
      <diagonal/>
    </border>
    <border>
      <left style="thick">
        <color theme="4" tint="-0.499984740745262"/>
      </left>
      <right style="thin">
        <color theme="0"/>
      </right>
      <top/>
      <bottom style="thin">
        <color theme="0"/>
      </bottom>
      <diagonal/>
    </border>
    <border>
      <left style="thick">
        <color theme="4" tint="-0.499984740745262"/>
      </left>
      <right style="thin">
        <color theme="4" tint="0.39994506668294322"/>
      </right>
      <top style="thin">
        <color theme="0"/>
      </top>
      <bottom style="thin">
        <color theme="4" tint="0.39994506668294322"/>
      </bottom>
      <diagonal/>
    </border>
    <border>
      <left style="thin">
        <color theme="4" tint="0.39994506668294322"/>
      </left>
      <right style="thick">
        <color theme="4" tint="-0.499984740745262"/>
      </right>
      <top style="thin">
        <color theme="0"/>
      </top>
      <bottom style="thin">
        <color theme="4" tint="0.39994506668294322"/>
      </bottom>
      <diagonal/>
    </border>
    <border>
      <left style="thick">
        <color theme="4" tint="-0.499984740745262"/>
      </left>
      <right style="thin">
        <color theme="4" tint="0.39994506668294322"/>
      </right>
      <top style="thin">
        <color theme="4" tint="0.39994506668294322"/>
      </top>
      <bottom style="thin">
        <color theme="4" tint="0.39994506668294322"/>
      </bottom>
      <diagonal/>
    </border>
    <border>
      <left style="thin">
        <color theme="4" tint="0.39994506668294322"/>
      </left>
      <right style="thick">
        <color theme="4" tint="-0.499984740745262"/>
      </right>
      <top style="thin">
        <color theme="4" tint="0.39994506668294322"/>
      </top>
      <bottom style="thin">
        <color theme="4" tint="0.39994506668294322"/>
      </bottom>
      <diagonal/>
    </border>
    <border>
      <left style="thick">
        <color theme="4" tint="-0.499984740745262"/>
      </left>
      <right style="thin">
        <color theme="4" tint="0.39994506668294322"/>
      </right>
      <top style="thin">
        <color theme="4" tint="0.39994506668294322"/>
      </top>
      <bottom/>
      <diagonal/>
    </border>
    <border>
      <left style="thin">
        <color theme="4" tint="0.39994506668294322"/>
      </left>
      <right style="thick">
        <color theme="4" tint="-0.499984740745262"/>
      </right>
      <top style="thin">
        <color theme="4" tint="0.39994506668294322"/>
      </top>
      <bottom/>
      <diagonal/>
    </border>
    <border>
      <left style="thick">
        <color theme="4" tint="-0.499984740745262"/>
      </left>
      <right style="thin">
        <color theme="4" tint="0.39994506668294322"/>
      </right>
      <top style="dashDot">
        <color theme="4" tint="0.39997558519241921"/>
      </top>
      <bottom style="thin">
        <color theme="4" tint="0.39994506668294322"/>
      </bottom>
      <diagonal/>
    </border>
    <border>
      <left style="thin">
        <color theme="4" tint="0.39994506668294322"/>
      </left>
      <right style="thick">
        <color theme="4" tint="-0.499984740745262"/>
      </right>
      <top style="dashDot">
        <color theme="4" tint="0.39997558519241921"/>
      </top>
      <bottom style="thin">
        <color theme="4" tint="0.39994506668294322"/>
      </bottom>
      <diagonal/>
    </border>
    <border>
      <left style="thick">
        <color theme="4" tint="-0.499984740745262"/>
      </left>
      <right style="thin">
        <color theme="0"/>
      </right>
      <top/>
      <bottom/>
      <diagonal/>
    </border>
    <border>
      <left style="medium">
        <color theme="0"/>
      </left>
      <right style="thick">
        <color theme="4" tint="-0.499984740745262"/>
      </right>
      <top style="medium">
        <color theme="4"/>
      </top>
      <bottom/>
      <diagonal/>
    </border>
    <border>
      <left style="thick">
        <color theme="4" tint="-0.499984740745262"/>
      </left>
      <right style="medium">
        <color theme="0"/>
      </right>
      <top style="medium">
        <color theme="4"/>
      </top>
      <bottom/>
      <diagonal/>
    </border>
    <border>
      <left style="thick">
        <color theme="4" tint="-0.499984740745262"/>
      </left>
      <right style="thin">
        <color theme="0"/>
      </right>
      <top style="thin">
        <color theme="0"/>
      </top>
      <bottom style="thin">
        <color theme="0"/>
      </bottom>
      <diagonal/>
    </border>
    <border>
      <left style="thick">
        <color theme="4" tint="-0.499984740745262"/>
      </left>
      <right style="medium">
        <color theme="0"/>
      </right>
      <top style="medium">
        <color theme="4"/>
      </top>
      <bottom style="thin">
        <color theme="0"/>
      </bottom>
      <diagonal/>
    </border>
    <border>
      <left style="thick">
        <color theme="0"/>
      </left>
      <right/>
      <top style="thin">
        <color theme="4" tint="0.39994506668294322"/>
      </top>
      <bottom style="thin">
        <color theme="0"/>
      </bottom>
      <diagonal/>
    </border>
    <border>
      <left/>
      <right style="thick">
        <color theme="0"/>
      </right>
      <top style="thin">
        <color theme="4" tint="0.39994506668294322"/>
      </top>
      <bottom style="thin">
        <color theme="0"/>
      </bottom>
      <diagonal/>
    </border>
    <border>
      <left style="thick">
        <color theme="0"/>
      </left>
      <right style="thin">
        <color theme="0"/>
      </right>
      <top/>
      <bottom style="thin">
        <color theme="0"/>
      </bottom>
      <diagonal/>
    </border>
    <border>
      <left style="thin">
        <color theme="0"/>
      </left>
      <right style="thick">
        <color theme="0"/>
      </right>
      <top/>
      <bottom style="thin">
        <color theme="0"/>
      </bottom>
      <diagonal/>
    </border>
    <border>
      <left/>
      <right style="thin">
        <color theme="0"/>
      </right>
      <top style="thin">
        <color theme="4" tint="0.39994506668294322"/>
      </top>
      <bottom/>
      <diagonal/>
    </border>
    <border>
      <left/>
      <right style="thin">
        <color theme="0"/>
      </right>
      <top style="dashDot">
        <color theme="4" tint="0.39997558519241921"/>
      </top>
      <bottom style="thin">
        <color theme="4" tint="0.39994506668294322"/>
      </bottom>
      <diagonal/>
    </border>
    <border>
      <left style="thick">
        <color theme="4" tint="-0.499984740745262"/>
      </left>
      <right style="thin">
        <color theme="0"/>
      </right>
      <top style="medium">
        <color theme="4"/>
      </top>
      <bottom/>
      <diagonal/>
    </border>
    <border>
      <left/>
      <right style="thin">
        <color theme="4" tint="0.39994506668294322"/>
      </right>
      <top style="thin">
        <color theme="0"/>
      </top>
      <bottom/>
      <diagonal/>
    </border>
    <border>
      <left/>
      <right/>
      <top style="thin">
        <color theme="4" tint="0.39997558519241921"/>
      </top>
      <bottom/>
      <diagonal/>
    </border>
    <border>
      <left/>
      <right/>
      <top style="medium">
        <color theme="8" tint="-0.24994659260841701"/>
      </top>
      <bottom/>
      <diagonal/>
    </border>
    <border>
      <left style="thin">
        <color theme="0"/>
      </left>
      <right style="thin">
        <color theme="0"/>
      </right>
      <top style="medium">
        <color theme="8" tint="-0.24994659260841701"/>
      </top>
      <bottom/>
      <diagonal/>
    </border>
    <border>
      <left/>
      <right/>
      <top style="thin">
        <color theme="8" tint="-0.24994659260841701"/>
      </top>
      <bottom style="thin">
        <color theme="4" tint="0.39997558519241921"/>
      </bottom>
      <diagonal/>
    </border>
    <border>
      <left style="thin">
        <color theme="0"/>
      </left>
      <right style="thin">
        <color theme="0"/>
      </right>
      <top style="thin">
        <color theme="8" tint="-0.24994659260841701"/>
      </top>
      <bottom/>
      <diagonal/>
    </border>
    <border>
      <left/>
      <right style="thin">
        <color theme="4" tint="0.39994506668294322"/>
      </right>
      <top style="thin">
        <color theme="8" tint="-0.24994659260841701"/>
      </top>
      <bottom style="thin">
        <color theme="0"/>
      </bottom>
      <diagonal/>
    </border>
    <border>
      <left/>
      <right style="thin">
        <color theme="0"/>
      </right>
      <top style="medium">
        <color theme="8" tint="-0.24994659260841701"/>
      </top>
      <bottom/>
      <diagonal/>
    </border>
    <border>
      <left style="thin">
        <color theme="0"/>
      </left>
      <right style="thin">
        <color theme="0"/>
      </right>
      <top style="medium">
        <color theme="8" tint="-0.24994659260841701"/>
      </top>
      <bottom style="thin">
        <color theme="0"/>
      </bottom>
      <diagonal/>
    </border>
    <border>
      <left/>
      <right style="thin">
        <color theme="0"/>
      </right>
      <top style="medium">
        <color theme="8" tint="-0.24994659260841701"/>
      </top>
      <bottom style="thin">
        <color theme="0"/>
      </bottom>
      <diagonal/>
    </border>
    <border>
      <left style="thin">
        <color theme="0"/>
      </left>
      <right style="thin">
        <color theme="0"/>
      </right>
      <top style="thin">
        <color theme="8" tint="-0.24994659260841701"/>
      </top>
      <bottom style="thin">
        <color theme="0"/>
      </bottom>
      <diagonal/>
    </border>
    <border>
      <left style="thin">
        <color theme="0"/>
      </left>
      <right/>
      <top style="thin">
        <color theme="8" tint="-0.24994659260841701"/>
      </top>
      <bottom/>
      <diagonal/>
    </border>
    <border>
      <left/>
      <right style="thin">
        <color theme="0"/>
      </right>
      <top style="thin">
        <color theme="8" tint="-0.24994659260841701"/>
      </top>
      <bottom/>
      <diagonal/>
    </border>
    <border>
      <left style="thin">
        <color theme="0"/>
      </left>
      <right style="thin">
        <color theme="0"/>
      </right>
      <top style="thin">
        <color theme="0"/>
      </top>
      <bottom style="thin">
        <color theme="8" tint="-0.249977111117893"/>
      </bottom>
      <diagonal/>
    </border>
    <border>
      <left/>
      <right style="thin">
        <color theme="0"/>
      </right>
      <top style="medium">
        <color theme="4"/>
      </top>
      <bottom/>
      <diagonal/>
    </border>
    <border>
      <left style="thin">
        <color theme="0"/>
      </left>
      <right/>
      <top style="medium">
        <color theme="4"/>
      </top>
      <bottom/>
      <diagonal/>
    </border>
  </borders>
  <cellStyleXfs count="3">
    <xf numFmtId="0" fontId="0" fillId="0" borderId="0"/>
    <xf numFmtId="0" fontId="14" fillId="0" borderId="0" applyNumberFormat="0" applyFill="0" applyBorder="0" applyAlignment="0" applyProtection="0"/>
    <xf numFmtId="43" fontId="18" fillId="0" borderId="0" applyFont="0" applyFill="0" applyBorder="0" applyAlignment="0" applyProtection="0"/>
  </cellStyleXfs>
  <cellXfs count="211">
    <xf numFmtId="0" fontId="0" fillId="0" borderId="0" xfId="0"/>
    <xf numFmtId="0" fontId="1" fillId="0" borderId="2" xfId="0" applyFont="1" applyBorder="1" applyAlignment="1" applyProtection="1">
      <alignment vertical="top"/>
      <protection locked="0"/>
    </xf>
    <xf numFmtId="0" fontId="2" fillId="0" borderId="2" xfId="0" applyFont="1" applyBorder="1" applyAlignment="1" applyProtection="1">
      <alignment vertical="top"/>
      <protection locked="0"/>
    </xf>
    <xf numFmtId="0" fontId="1" fillId="0" borderId="2" xfId="0" applyFont="1" applyBorder="1" applyAlignment="1" applyProtection="1">
      <alignment vertical="top" wrapText="1"/>
      <protection locked="0"/>
    </xf>
    <xf numFmtId="0" fontId="6" fillId="0" borderId="2" xfId="0" applyFont="1" applyBorder="1" applyAlignment="1" applyProtection="1">
      <alignment vertical="top"/>
      <protection locked="0"/>
    </xf>
    <xf numFmtId="0" fontId="7" fillId="0" borderId="2" xfId="0" applyFont="1" applyBorder="1" applyAlignment="1" applyProtection="1">
      <alignment vertical="top"/>
      <protection locked="0"/>
    </xf>
    <xf numFmtId="0" fontId="8" fillId="0" borderId="2" xfId="0" applyFont="1" applyBorder="1" applyAlignment="1" applyProtection="1">
      <alignment vertical="top"/>
      <protection locked="0"/>
    </xf>
    <xf numFmtId="0" fontId="2" fillId="0" borderId="2" xfId="0" applyFont="1" applyBorder="1" applyAlignment="1" applyProtection="1">
      <alignment vertical="top" wrapText="1"/>
      <protection locked="0"/>
    </xf>
    <xf numFmtId="0" fontId="2" fillId="0" borderId="4" xfId="0" applyFont="1" applyBorder="1" applyAlignment="1" applyProtection="1">
      <alignment vertical="center" wrapText="1"/>
      <protection locked="0"/>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18" xfId="0" applyFont="1" applyBorder="1" applyAlignment="1" applyProtection="1">
      <alignment vertical="top"/>
      <protection locked="0"/>
    </xf>
    <xf numFmtId="0" fontId="2" fillId="0" borderId="21" xfId="0" quotePrefix="1" applyFont="1" applyBorder="1" applyAlignment="1" applyProtection="1">
      <alignment vertical="top"/>
      <protection locked="0"/>
    </xf>
    <xf numFmtId="0" fontId="9" fillId="5" borderId="21" xfId="0" quotePrefix="1" applyFont="1" applyFill="1" applyBorder="1" applyAlignment="1" applyProtection="1">
      <alignment vertical="top"/>
      <protection locked="0"/>
    </xf>
    <xf numFmtId="0" fontId="8" fillId="5" borderId="21" xfId="0" quotePrefix="1" applyFont="1" applyFill="1" applyBorder="1" applyAlignment="1" applyProtection="1">
      <alignment vertical="top"/>
      <protection locked="0"/>
    </xf>
    <xf numFmtId="0" fontId="2" fillId="0" borderId="38" xfId="0" quotePrefix="1" applyFont="1" applyBorder="1" applyAlignment="1" applyProtection="1">
      <alignment vertical="top"/>
      <protection locked="0"/>
    </xf>
    <xf numFmtId="0" fontId="8" fillId="0" borderId="25" xfId="0" quotePrefix="1" applyFont="1" applyBorder="1" applyAlignment="1" applyProtection="1">
      <alignment vertical="top"/>
      <protection locked="0"/>
    </xf>
    <xf numFmtId="0" fontId="2" fillId="0" borderId="4" xfId="0" applyFont="1" applyBorder="1" applyAlignment="1" applyProtection="1">
      <alignment vertical="center"/>
      <protection locked="0"/>
    </xf>
    <xf numFmtId="0" fontId="2" fillId="0" borderId="21" xfId="0" applyFont="1" applyBorder="1" applyAlignment="1" applyProtection="1">
      <alignment vertical="top"/>
      <protection locked="0"/>
    </xf>
    <xf numFmtId="0" fontId="2" fillId="0" borderId="3" xfId="0" applyFont="1" applyBorder="1" applyAlignment="1" applyProtection="1">
      <alignment vertical="top"/>
      <protection locked="0"/>
    </xf>
    <xf numFmtId="0" fontId="2" fillId="0" borderId="38" xfId="0" applyFont="1" applyBorder="1" applyAlignment="1" applyProtection="1">
      <alignment vertical="top"/>
      <protection locked="0"/>
    </xf>
    <xf numFmtId="0" fontId="8" fillId="0" borderId="25" xfId="0" applyFont="1" applyBorder="1" applyAlignment="1" applyProtection="1">
      <alignment vertical="top"/>
      <protection locked="0"/>
    </xf>
    <xf numFmtId="0" fontId="8" fillId="5" borderId="18" xfId="0" applyFont="1" applyFill="1" applyBorder="1" applyAlignment="1" applyProtection="1">
      <alignment vertical="top"/>
      <protection locked="0"/>
    </xf>
    <xf numFmtId="0" fontId="8" fillId="0" borderId="25" xfId="0" quotePrefix="1" applyFont="1" applyBorder="1" applyAlignment="1" applyProtection="1">
      <alignment vertical="top" wrapText="1"/>
      <protection locked="0"/>
    </xf>
    <xf numFmtId="0" fontId="2" fillId="0" borderId="21" xfId="0" applyFont="1" applyBorder="1" applyAlignment="1" applyProtection="1">
      <alignment vertical="top" wrapText="1"/>
      <protection locked="0"/>
    </xf>
    <xf numFmtId="0" fontId="2" fillId="0" borderId="27" xfId="0" applyFont="1" applyBorder="1" applyAlignment="1" applyProtection="1">
      <alignment vertical="top"/>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8" fillId="5" borderId="21" xfId="0" applyFont="1" applyFill="1" applyBorder="1" applyAlignment="1" applyProtection="1">
      <alignment vertical="top"/>
      <protection locked="0"/>
    </xf>
    <xf numFmtId="0" fontId="10" fillId="2" borderId="46" xfId="0" applyFont="1" applyFill="1" applyBorder="1" applyAlignment="1" applyProtection="1">
      <alignment vertical="top"/>
      <protection locked="0"/>
    </xf>
    <xf numFmtId="0" fontId="11" fillId="2" borderId="44" xfId="0" applyFont="1" applyFill="1" applyBorder="1" applyAlignment="1" applyProtection="1">
      <alignment vertical="top"/>
      <protection locked="0"/>
    </xf>
    <xf numFmtId="49" fontId="11" fillId="2" borderId="23" xfId="0" applyNumberFormat="1" applyFont="1" applyFill="1" applyBorder="1" applyAlignment="1" applyProtection="1">
      <alignment vertical="top"/>
      <protection locked="0"/>
    </xf>
    <xf numFmtId="0" fontId="2" fillId="0" borderId="38" xfId="0" applyFont="1" applyBorder="1" applyAlignment="1" applyProtection="1">
      <alignment vertical="top" wrapText="1"/>
      <protection locked="0"/>
    </xf>
    <xf numFmtId="0" fontId="2" fillId="0" borderId="25" xfId="0" applyFont="1" applyBorder="1" applyAlignment="1" applyProtection="1">
      <alignment vertical="top" wrapText="1"/>
      <protection locked="0"/>
    </xf>
    <xf numFmtId="0" fontId="12" fillId="0" borderId="0" xfId="0" applyFont="1" applyAlignment="1" applyProtection="1">
      <alignment horizontal="left" vertical="top" readingOrder="1"/>
      <protection locked="0"/>
    </xf>
    <xf numFmtId="0" fontId="11" fillId="2" borderId="23" xfId="0" applyFont="1" applyFill="1" applyBorder="1" applyAlignment="1" applyProtection="1">
      <alignment vertical="top"/>
      <protection locked="0"/>
    </xf>
    <xf numFmtId="0" fontId="2" fillId="0" borderId="50" xfId="0" applyFont="1" applyBorder="1" applyAlignment="1" applyProtection="1">
      <alignment vertical="top"/>
      <protection locked="0"/>
    </xf>
    <xf numFmtId="0" fontId="2" fillId="0" borderId="7" xfId="0" applyFont="1" applyBorder="1" applyAlignment="1" applyProtection="1">
      <alignment vertical="top" wrapText="1"/>
      <protection locked="0"/>
    </xf>
    <xf numFmtId="0" fontId="11" fillId="0" borderId="2" xfId="0" applyFont="1" applyBorder="1" applyAlignment="1" applyProtection="1">
      <alignment vertical="top"/>
      <protection locked="0"/>
    </xf>
    <xf numFmtId="0" fontId="6" fillId="0" borderId="5" xfId="0" applyFont="1" applyBorder="1" applyAlignment="1" applyProtection="1">
      <alignment vertical="top"/>
      <protection locked="0"/>
    </xf>
    <xf numFmtId="0" fontId="2" fillId="0" borderId="31" xfId="0" applyFont="1" applyBorder="1" applyAlignment="1" applyProtection="1">
      <alignment vertical="top"/>
      <protection locked="0"/>
    </xf>
    <xf numFmtId="0" fontId="2" fillId="0" borderId="33" xfId="0" applyFont="1" applyBorder="1" applyAlignment="1" applyProtection="1">
      <alignment vertical="top"/>
      <protection locked="0"/>
    </xf>
    <xf numFmtId="14" fontId="2" fillId="4" borderId="2" xfId="0" applyNumberFormat="1" applyFont="1" applyFill="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14" fontId="8" fillId="0" borderId="4" xfId="0" applyNumberFormat="1" applyFont="1" applyBorder="1" applyAlignment="1" applyProtection="1">
      <alignment vertical="center"/>
      <protection locked="0"/>
    </xf>
    <xf numFmtId="0" fontId="8" fillId="0" borderId="7" xfId="0" applyFont="1" applyBorder="1" applyAlignment="1" applyProtection="1">
      <alignment vertical="top"/>
      <protection locked="0"/>
    </xf>
    <xf numFmtId="0" fontId="2" fillId="0" borderId="10" xfId="0" applyFont="1" applyBorder="1" applyAlignment="1" applyProtection="1">
      <alignment vertical="top"/>
      <protection locked="0"/>
    </xf>
    <xf numFmtId="0" fontId="2" fillId="0" borderId="1" xfId="0" applyFont="1" applyBorder="1" applyAlignment="1" applyProtection="1">
      <alignment vertical="top"/>
      <protection locked="0"/>
    </xf>
    <xf numFmtId="0" fontId="2" fillId="0" borderId="42" xfId="0" applyFont="1" applyBorder="1" applyAlignment="1" applyProtection="1">
      <alignment vertical="top"/>
      <protection locked="0"/>
    </xf>
    <xf numFmtId="0" fontId="8" fillId="0" borderId="4" xfId="0" applyFont="1" applyBorder="1" applyAlignment="1" applyProtection="1">
      <alignment vertical="center"/>
      <protection locked="0"/>
    </xf>
    <xf numFmtId="0" fontId="2" fillId="4" borderId="52" xfId="0" applyFont="1" applyFill="1" applyBorder="1" applyAlignment="1" applyProtection="1">
      <alignment vertical="top"/>
      <protection locked="0"/>
    </xf>
    <xf numFmtId="0" fontId="2" fillId="4" borderId="53" xfId="0" applyFont="1" applyFill="1" applyBorder="1" applyAlignment="1" applyProtection="1">
      <alignment vertical="top"/>
      <protection locked="0"/>
    </xf>
    <xf numFmtId="0" fontId="2" fillId="4" borderId="54" xfId="0" applyFont="1" applyFill="1" applyBorder="1" applyAlignment="1" applyProtection="1">
      <alignment vertical="top"/>
      <protection locked="0"/>
    </xf>
    <xf numFmtId="0" fontId="2" fillId="4" borderId="55" xfId="0" applyFont="1" applyFill="1" applyBorder="1" applyAlignment="1" applyProtection="1">
      <alignment vertical="top"/>
      <protection locked="0"/>
    </xf>
    <xf numFmtId="0" fontId="2" fillId="4" borderId="56" xfId="0" applyFont="1" applyFill="1" applyBorder="1" applyAlignment="1" applyProtection="1">
      <alignment vertical="top"/>
      <protection locked="0"/>
    </xf>
    <xf numFmtId="0" fontId="8" fillId="0" borderId="57" xfId="0" applyFont="1" applyBorder="1" applyAlignment="1" applyProtection="1">
      <alignment vertical="top"/>
      <protection locked="0"/>
    </xf>
    <xf numFmtId="0" fontId="6" fillId="0" borderId="2" xfId="0" applyFont="1" applyBorder="1" applyAlignment="1">
      <alignment vertical="top"/>
    </xf>
    <xf numFmtId="0" fontId="2" fillId="0" borderId="61" xfId="0" applyFont="1" applyBorder="1" applyAlignment="1" applyProtection="1">
      <alignment vertical="top" wrapText="1"/>
      <protection locked="0"/>
    </xf>
    <xf numFmtId="0" fontId="5" fillId="3" borderId="60" xfId="0" applyFont="1" applyFill="1" applyBorder="1" applyAlignment="1" applyProtection="1">
      <alignment vertical="center" wrapText="1"/>
      <protection locked="0"/>
    </xf>
    <xf numFmtId="0" fontId="2" fillId="0" borderId="10" xfId="0" applyFont="1" applyBorder="1" applyAlignment="1" applyProtection="1">
      <alignment vertical="top" wrapText="1"/>
      <protection locked="0"/>
    </xf>
    <xf numFmtId="0" fontId="8" fillId="0" borderId="10" xfId="0" applyFont="1" applyBorder="1" applyAlignment="1" applyProtection="1">
      <alignment vertical="top" wrapText="1"/>
      <protection locked="0"/>
    </xf>
    <xf numFmtId="164" fontId="8" fillId="0" borderId="0" xfId="0" applyNumberFormat="1" applyFont="1" applyAlignment="1">
      <alignment horizontal="center" vertical="center"/>
    </xf>
    <xf numFmtId="14" fontId="1" fillId="4" borderId="2" xfId="0" applyNumberFormat="1" applyFont="1" applyFill="1" applyBorder="1" applyAlignment="1" applyProtection="1">
      <alignment horizontal="center" vertical="center" wrapText="1"/>
      <protection locked="0"/>
    </xf>
    <xf numFmtId="0" fontId="1" fillId="0" borderId="4" xfId="0" applyFont="1" applyBorder="1" applyAlignment="1" applyProtection="1">
      <alignment vertical="top" wrapText="1"/>
      <protection locked="0"/>
    </xf>
    <xf numFmtId="0" fontId="2" fillId="0" borderId="54" xfId="0" applyFont="1" applyBorder="1" applyAlignment="1" applyProtection="1">
      <alignment vertical="top"/>
      <protection locked="0"/>
    </xf>
    <xf numFmtId="0" fontId="6" fillId="0" borderId="4" xfId="0" applyFont="1" applyBorder="1" applyAlignment="1" applyProtection="1">
      <alignment vertical="top"/>
      <protection locked="0"/>
    </xf>
    <xf numFmtId="0" fontId="2" fillId="0" borderId="60" xfId="0" applyFont="1" applyBorder="1" applyAlignment="1" applyProtection="1">
      <alignment vertical="center" wrapText="1"/>
      <protection locked="0"/>
    </xf>
    <xf numFmtId="0" fontId="2" fillId="0" borderId="4" xfId="0" applyFont="1" applyBorder="1" applyAlignment="1" applyProtection="1">
      <alignment horizontal="center" vertical="center"/>
      <protection locked="0"/>
    </xf>
    <xf numFmtId="0" fontId="2" fillId="0" borderId="84" xfId="0" applyFont="1" applyBorder="1" applyAlignment="1" applyProtection="1">
      <alignment horizontal="center" vertical="center"/>
      <protection locked="0"/>
    </xf>
    <xf numFmtId="0" fontId="6" fillId="0" borderId="80" xfId="0" applyFont="1" applyBorder="1" applyAlignment="1" applyProtection="1">
      <alignment vertical="top"/>
      <protection locked="0"/>
    </xf>
    <xf numFmtId="0" fontId="6" fillId="0" borderId="68" xfId="0" applyFont="1" applyBorder="1" applyAlignment="1" applyProtection="1">
      <alignment vertical="top"/>
      <protection locked="0"/>
    </xf>
    <xf numFmtId="0" fontId="2" fillId="0" borderId="85" xfId="0" applyFont="1" applyBorder="1" applyAlignment="1" applyProtection="1">
      <alignment horizontal="center" vertical="center" wrapText="1"/>
      <protection locked="0"/>
    </xf>
    <xf numFmtId="0" fontId="5" fillId="3" borderId="9" xfId="0" applyFont="1" applyFill="1" applyBorder="1" applyAlignment="1" applyProtection="1">
      <alignment vertical="center" wrapText="1"/>
      <protection locked="0"/>
    </xf>
    <xf numFmtId="0" fontId="5" fillId="3" borderId="10" xfId="0" applyFont="1" applyFill="1" applyBorder="1" applyAlignment="1" applyProtection="1">
      <alignment vertical="center" wrapText="1"/>
      <protection locked="0"/>
    </xf>
    <xf numFmtId="0" fontId="5" fillId="3" borderId="82" xfId="0" applyFont="1" applyFill="1" applyBorder="1" applyAlignment="1" applyProtection="1">
      <alignment horizontal="center" vertical="center" wrapText="1"/>
      <protection locked="0"/>
    </xf>
    <xf numFmtId="0" fontId="5" fillId="3" borderId="83" xfId="0" applyFont="1" applyFill="1" applyBorder="1" applyAlignment="1" applyProtection="1">
      <alignment horizontal="center" vertical="center"/>
      <protection locked="0"/>
    </xf>
    <xf numFmtId="0" fontId="15" fillId="0" borderId="2" xfId="1" applyFont="1" applyBorder="1" applyAlignment="1" applyProtection="1">
      <alignment vertical="top" wrapText="1"/>
      <protection locked="0"/>
    </xf>
    <xf numFmtId="0" fontId="6" fillId="5" borderId="2" xfId="0" applyFont="1" applyFill="1" applyBorder="1" applyAlignment="1" applyProtection="1">
      <alignment vertical="top"/>
      <protection locked="0"/>
    </xf>
    <xf numFmtId="0" fontId="7" fillId="5" borderId="2" xfId="0" applyFont="1" applyFill="1" applyBorder="1" applyAlignment="1" applyProtection="1">
      <alignment vertical="top"/>
      <protection locked="0"/>
    </xf>
    <xf numFmtId="0" fontId="2" fillId="5" borderId="2" xfId="0" applyFont="1" applyFill="1" applyBorder="1" applyAlignment="1" applyProtection="1">
      <alignment vertical="top"/>
      <protection locked="0"/>
    </xf>
    <xf numFmtId="0" fontId="8" fillId="0" borderId="90" xfId="0" applyFont="1" applyBorder="1" applyAlignment="1" applyProtection="1">
      <alignment vertical="top"/>
      <protection locked="0"/>
    </xf>
    <xf numFmtId="0" fontId="8" fillId="0" borderId="91" xfId="0" applyFont="1" applyBorder="1" applyAlignment="1" applyProtection="1">
      <alignment vertical="top"/>
      <protection locked="0"/>
    </xf>
    <xf numFmtId="0" fontId="8" fillId="0" borderId="93" xfId="0" applyFont="1" applyBorder="1" applyAlignment="1" applyProtection="1">
      <alignment vertical="top"/>
      <protection locked="0"/>
    </xf>
    <xf numFmtId="0" fontId="2" fillId="0" borderId="96" xfId="0" applyFont="1" applyBorder="1" applyAlignment="1" applyProtection="1">
      <alignment vertical="top"/>
      <protection locked="0"/>
    </xf>
    <xf numFmtId="0" fontId="2" fillId="0" borderId="7" xfId="0" applyFont="1" applyBorder="1" applyAlignment="1" applyProtection="1">
      <alignment vertical="top"/>
      <protection locked="0"/>
    </xf>
    <xf numFmtId="164" fontId="8" fillId="0" borderId="94" xfId="0" applyNumberFormat="1" applyFont="1" applyBorder="1" applyAlignment="1">
      <alignment vertical="top"/>
    </xf>
    <xf numFmtId="0" fontId="11" fillId="0" borderId="18" xfId="0" applyFont="1" applyBorder="1" applyAlignment="1" applyProtection="1">
      <alignment horizontal="center" vertical="top"/>
      <protection locked="0"/>
    </xf>
    <xf numFmtId="0" fontId="8" fillId="2" borderId="45" xfId="0" applyFont="1" applyFill="1" applyBorder="1" applyAlignment="1" applyProtection="1">
      <alignment vertical="top" wrapText="1"/>
      <protection locked="0"/>
    </xf>
    <xf numFmtId="0" fontId="8" fillId="2" borderId="47" xfId="0" applyFont="1" applyFill="1" applyBorder="1" applyAlignment="1" applyProtection="1">
      <alignment vertical="top" wrapText="1"/>
      <protection locked="0"/>
    </xf>
    <xf numFmtId="49" fontId="2" fillId="7" borderId="23" xfId="0" applyNumberFormat="1" applyFont="1" applyFill="1" applyBorder="1" applyAlignment="1" applyProtection="1">
      <alignment vertical="top"/>
      <protection locked="0"/>
    </xf>
    <xf numFmtId="49" fontId="2" fillId="7" borderId="40" xfId="0" applyNumberFormat="1" applyFont="1" applyFill="1" applyBorder="1" applyAlignment="1" applyProtection="1">
      <alignment vertical="top"/>
      <protection locked="0"/>
    </xf>
    <xf numFmtId="164" fontId="2" fillId="7" borderId="23" xfId="0" applyNumberFormat="1" applyFont="1" applyFill="1" applyBorder="1" applyAlignment="1" applyProtection="1">
      <alignment vertical="top"/>
      <protection locked="0"/>
    </xf>
    <xf numFmtId="0" fontId="16" fillId="0" borderId="2" xfId="0" applyFont="1" applyBorder="1" applyAlignment="1" applyProtection="1">
      <alignment vertical="top" wrapText="1"/>
      <protection locked="0"/>
    </xf>
    <xf numFmtId="165" fontId="2" fillId="4" borderId="19" xfId="0" applyNumberFormat="1" applyFont="1" applyFill="1" applyBorder="1" applyAlignment="1" applyProtection="1">
      <alignment vertical="top"/>
      <protection locked="0"/>
    </xf>
    <xf numFmtId="165" fontId="2" fillId="0" borderId="20" xfId="0" applyNumberFormat="1" applyFont="1" applyBorder="1" applyAlignment="1">
      <alignment vertical="top"/>
    </xf>
    <xf numFmtId="165" fontId="2" fillId="4" borderId="22" xfId="0" applyNumberFormat="1" applyFont="1" applyFill="1" applyBorder="1" applyAlignment="1" applyProtection="1">
      <alignment vertical="top"/>
      <protection locked="0"/>
    </xf>
    <xf numFmtId="165" fontId="2" fillId="0" borderId="23" xfId="0" applyNumberFormat="1" applyFont="1" applyBorder="1" applyAlignment="1">
      <alignment vertical="top"/>
    </xf>
    <xf numFmtId="165" fontId="9" fillId="5" borderId="22" xfId="0" applyNumberFormat="1" applyFont="1" applyFill="1" applyBorder="1" applyAlignment="1">
      <alignment vertical="top"/>
    </xf>
    <xf numFmtId="165" fontId="9" fillId="5" borderId="23" xfId="0" applyNumberFormat="1" applyFont="1" applyFill="1" applyBorder="1" applyAlignment="1">
      <alignment vertical="top"/>
    </xf>
    <xf numFmtId="165" fontId="8" fillId="5" borderId="22" xfId="0" applyNumberFormat="1" applyFont="1" applyFill="1" applyBorder="1" applyAlignment="1">
      <alignment vertical="top"/>
    </xf>
    <xf numFmtId="165" fontId="8" fillId="5" borderId="23" xfId="0" applyNumberFormat="1" applyFont="1" applyFill="1" applyBorder="1" applyAlignment="1">
      <alignment vertical="top"/>
    </xf>
    <xf numFmtId="165" fontId="2" fillId="4" borderId="39" xfId="0" applyNumberFormat="1" applyFont="1" applyFill="1" applyBorder="1" applyAlignment="1" applyProtection="1">
      <alignment vertical="top"/>
      <protection locked="0"/>
    </xf>
    <xf numFmtId="165" fontId="2" fillId="0" borderId="40" xfId="0" applyNumberFormat="1" applyFont="1" applyBorder="1" applyAlignment="1">
      <alignment vertical="top"/>
    </xf>
    <xf numFmtId="165" fontId="8" fillId="0" borderId="26" xfId="0" applyNumberFormat="1" applyFont="1" applyBorder="1" applyAlignment="1">
      <alignment vertical="top"/>
    </xf>
    <xf numFmtId="165" fontId="8" fillId="0" borderId="24" xfId="0" applyNumberFormat="1" applyFont="1" applyBorder="1" applyAlignment="1">
      <alignment vertical="top"/>
    </xf>
    <xf numFmtId="165" fontId="8" fillId="5" borderId="19" xfId="0" applyNumberFormat="1" applyFont="1" applyFill="1" applyBorder="1" applyAlignment="1">
      <alignment vertical="top"/>
    </xf>
    <xf numFmtId="165" fontId="8" fillId="5" borderId="20" xfId="0" applyNumberFormat="1" applyFont="1" applyFill="1" applyBorder="1" applyAlignment="1">
      <alignment vertical="top"/>
    </xf>
    <xf numFmtId="165" fontId="2" fillId="0" borderId="39" xfId="0" applyNumberFormat="1" applyFont="1" applyBorder="1" applyAlignment="1">
      <alignment vertical="top"/>
    </xf>
    <xf numFmtId="165" fontId="2" fillId="0" borderId="19" xfId="0" applyNumberFormat="1" applyFont="1" applyBorder="1" applyAlignment="1">
      <alignment vertical="top"/>
    </xf>
    <xf numFmtId="165" fontId="2" fillId="6" borderId="22" xfId="0" applyNumberFormat="1" applyFont="1" applyFill="1" applyBorder="1" applyAlignment="1">
      <alignment vertical="top"/>
    </xf>
    <xf numFmtId="165" fontId="2" fillId="0" borderId="22" xfId="0" applyNumberFormat="1" applyFont="1" applyBorder="1" applyAlignment="1">
      <alignment vertical="top"/>
    </xf>
    <xf numFmtId="165" fontId="2" fillId="0" borderId="28" xfId="0" applyNumberFormat="1" applyFont="1" applyBorder="1" applyAlignment="1">
      <alignment vertical="top"/>
    </xf>
    <xf numFmtId="165" fontId="2" fillId="0" borderId="29" xfId="0" applyNumberFormat="1" applyFont="1" applyBorder="1" applyAlignment="1">
      <alignment vertical="top"/>
    </xf>
    <xf numFmtId="165" fontId="2" fillId="4" borderId="23" xfId="0" applyNumberFormat="1" applyFont="1" applyFill="1" applyBorder="1" applyAlignment="1" applyProtection="1">
      <alignment vertical="top"/>
      <protection locked="0"/>
    </xf>
    <xf numFmtId="165" fontId="2" fillId="4" borderId="40" xfId="0" applyNumberFormat="1" applyFont="1" applyFill="1" applyBorder="1" applyAlignment="1" applyProtection="1">
      <alignment vertical="top"/>
      <protection locked="0"/>
    </xf>
    <xf numFmtId="165" fontId="10" fillId="2" borderId="48" xfId="0" applyNumberFormat="1" applyFont="1" applyFill="1" applyBorder="1" applyAlignment="1" applyProtection="1">
      <alignment vertical="top"/>
      <protection locked="0"/>
    </xf>
    <xf numFmtId="165" fontId="2" fillId="5" borderId="23" xfId="0" applyNumberFormat="1" applyFont="1" applyFill="1" applyBorder="1" applyAlignment="1" applyProtection="1">
      <alignment vertical="top"/>
      <protection locked="0"/>
    </xf>
    <xf numFmtId="165" fontId="2" fillId="0" borderId="49" xfId="0" applyNumberFormat="1" applyFont="1" applyBorder="1" applyAlignment="1">
      <alignment vertical="top"/>
    </xf>
    <xf numFmtId="165" fontId="8" fillId="0" borderId="2" xfId="0" applyNumberFormat="1" applyFont="1" applyBorder="1" applyAlignment="1">
      <alignment vertical="top"/>
    </xf>
    <xf numFmtId="165" fontId="2" fillId="4" borderId="66" xfId="0" applyNumberFormat="1" applyFont="1" applyFill="1" applyBorder="1" applyAlignment="1" applyProtection="1">
      <alignment vertical="top"/>
      <protection locked="0"/>
    </xf>
    <xf numFmtId="165" fontId="2" fillId="4" borderId="67" xfId="0" applyNumberFormat="1" applyFont="1" applyFill="1" applyBorder="1" applyAlignment="1" applyProtection="1">
      <alignment vertical="top"/>
      <protection locked="0"/>
    </xf>
    <xf numFmtId="165" fontId="6" fillId="5" borderId="79" xfId="0" applyNumberFormat="1" applyFont="1" applyFill="1" applyBorder="1" applyAlignment="1">
      <alignment vertical="top"/>
    </xf>
    <xf numFmtId="165" fontId="8" fillId="0" borderId="78" xfId="0" applyNumberFormat="1" applyFont="1" applyBorder="1" applyAlignment="1">
      <alignment vertical="top"/>
    </xf>
    <xf numFmtId="165" fontId="2" fillId="0" borderId="70" xfId="0" applyNumberFormat="1" applyFont="1" applyBorder="1" applyAlignment="1">
      <alignment vertical="top"/>
    </xf>
    <xf numFmtId="165" fontId="8" fillId="0" borderId="62" xfId="0" applyNumberFormat="1" applyFont="1" applyBorder="1" applyAlignment="1">
      <alignment vertical="top"/>
    </xf>
    <xf numFmtId="165" fontId="2" fillId="0" borderId="72" xfId="0" applyNumberFormat="1" applyFont="1" applyBorder="1" applyAlignment="1">
      <alignment vertical="top"/>
    </xf>
    <xf numFmtId="165" fontId="8" fillId="0" borderId="63" xfId="0" applyNumberFormat="1" applyFont="1" applyBorder="1" applyAlignment="1">
      <alignment vertical="top"/>
    </xf>
    <xf numFmtId="165" fontId="2" fillId="0" borderId="74" xfId="0" applyNumberFormat="1" applyFont="1" applyBorder="1" applyAlignment="1">
      <alignment vertical="top"/>
    </xf>
    <xf numFmtId="165" fontId="8" fillId="0" borderId="86" xfId="0" applyNumberFormat="1" applyFont="1" applyBorder="1" applyAlignment="1">
      <alignment vertical="top"/>
    </xf>
    <xf numFmtId="165" fontId="2" fillId="0" borderId="76" xfId="0" applyNumberFormat="1" applyFont="1" applyBorder="1" applyAlignment="1">
      <alignment vertical="top"/>
    </xf>
    <xf numFmtId="165" fontId="8" fillId="0" borderId="87" xfId="0" applyNumberFormat="1" applyFont="1" applyBorder="1" applyAlignment="1">
      <alignment vertical="top"/>
    </xf>
    <xf numFmtId="165" fontId="2" fillId="4" borderId="8" xfId="0" applyNumberFormat="1" applyFont="1" applyFill="1" applyBorder="1" applyAlignment="1" applyProtection="1">
      <alignment vertical="top"/>
      <protection locked="0"/>
    </xf>
    <xf numFmtId="165" fontId="8" fillId="0" borderId="8" xfId="0" applyNumberFormat="1" applyFont="1" applyBorder="1" applyAlignment="1">
      <alignment vertical="top"/>
    </xf>
    <xf numFmtId="165" fontId="2" fillId="4" borderId="12" xfId="0" applyNumberFormat="1" applyFont="1" applyFill="1" applyBorder="1" applyAlignment="1" applyProtection="1">
      <alignment vertical="top"/>
      <protection locked="0"/>
    </xf>
    <xf numFmtId="165" fontId="2" fillId="4" borderId="13" xfId="0" applyNumberFormat="1" applyFont="1" applyFill="1" applyBorder="1" applyAlignment="1" applyProtection="1">
      <alignment vertical="top"/>
      <protection locked="0"/>
    </xf>
    <xf numFmtId="165" fontId="2" fillId="4" borderId="14" xfId="0" applyNumberFormat="1" applyFont="1" applyFill="1" applyBorder="1" applyAlignment="1" applyProtection="1">
      <alignment vertical="top"/>
      <protection locked="0"/>
    </xf>
    <xf numFmtId="165" fontId="8" fillId="0" borderId="10" xfId="0" applyNumberFormat="1" applyFont="1" applyBorder="1" applyAlignment="1">
      <alignment vertical="top"/>
    </xf>
    <xf numFmtId="165" fontId="2" fillId="4" borderId="15" xfId="0" applyNumberFormat="1" applyFont="1" applyFill="1" applyBorder="1" applyAlignment="1" applyProtection="1">
      <alignment vertical="top"/>
      <protection locked="0"/>
    </xf>
    <xf numFmtId="165" fontId="2" fillId="4" borderId="16" xfId="0" applyNumberFormat="1" applyFont="1" applyFill="1" applyBorder="1" applyAlignment="1" applyProtection="1">
      <alignment vertical="top"/>
      <protection locked="0"/>
    </xf>
    <xf numFmtId="165" fontId="2" fillId="4" borderId="17" xfId="0" applyNumberFormat="1" applyFont="1" applyFill="1" applyBorder="1" applyAlignment="1" applyProtection="1">
      <alignment vertical="top"/>
      <protection locked="0"/>
    </xf>
    <xf numFmtId="165" fontId="8" fillId="0" borderId="11" xfId="0" applyNumberFormat="1" applyFont="1" applyBorder="1" applyAlignment="1">
      <alignment vertical="top"/>
    </xf>
    <xf numFmtId="165" fontId="2" fillId="4" borderId="36" xfId="0" applyNumberFormat="1" applyFont="1" applyFill="1" applyBorder="1" applyAlignment="1" applyProtection="1">
      <alignment vertical="top"/>
      <protection locked="0"/>
    </xf>
    <xf numFmtId="165" fontId="2" fillId="4" borderId="37" xfId="0" applyNumberFormat="1" applyFont="1" applyFill="1" applyBorder="1" applyAlignment="1" applyProtection="1">
      <alignment vertical="top"/>
      <protection locked="0"/>
    </xf>
    <xf numFmtId="165" fontId="2" fillId="4" borderId="43" xfId="0" applyNumberFormat="1" applyFont="1" applyFill="1" applyBorder="1" applyAlignment="1" applyProtection="1">
      <alignment vertical="top"/>
      <protection locked="0"/>
    </xf>
    <xf numFmtId="165" fontId="8" fillId="0" borderId="41" xfId="0" applyNumberFormat="1" applyFont="1" applyBorder="1" applyAlignment="1">
      <alignment vertical="top"/>
    </xf>
    <xf numFmtId="165" fontId="8" fillId="5" borderId="89" xfId="0" applyNumberFormat="1" applyFont="1" applyFill="1" applyBorder="1" applyAlignment="1">
      <alignment vertical="top"/>
    </xf>
    <xf numFmtId="165" fontId="8" fillId="0" borderId="9" xfId="0" applyNumberFormat="1" applyFont="1" applyBorder="1" applyAlignment="1">
      <alignment vertical="top"/>
    </xf>
    <xf numFmtId="165" fontId="8" fillId="5" borderId="95" xfId="0" applyNumberFormat="1" applyFont="1" applyFill="1" applyBorder="1" applyAlignment="1">
      <alignment vertical="top"/>
    </xf>
    <xf numFmtId="165" fontId="8" fillId="0" borderId="92" xfId="0" applyNumberFormat="1" applyFont="1" applyBorder="1" applyAlignment="1">
      <alignment vertical="top"/>
    </xf>
    <xf numFmtId="165" fontId="8" fillId="0" borderId="94" xfId="0" applyNumberFormat="1" applyFont="1" applyBorder="1" applyAlignment="1">
      <alignment vertical="top"/>
    </xf>
    <xf numFmtId="165" fontId="8" fillId="0" borderId="23" xfId="0" applyNumberFormat="1" applyFont="1" applyBorder="1" applyAlignment="1">
      <alignment vertical="top"/>
    </xf>
    <xf numFmtId="165" fontId="2" fillId="4" borderId="30" xfId="0" applyNumberFormat="1" applyFont="1" applyFill="1" applyBorder="1" applyAlignment="1" applyProtection="1">
      <alignment vertical="top"/>
      <protection locked="0"/>
    </xf>
    <xf numFmtId="165" fontId="8" fillId="0" borderId="32" xfId="0" applyNumberFormat="1" applyFont="1" applyBorder="1" applyAlignment="1">
      <alignment vertical="top"/>
    </xf>
    <xf numFmtId="165" fontId="2" fillId="4" borderId="34" xfId="0" applyNumberFormat="1" applyFont="1" applyFill="1" applyBorder="1" applyAlignment="1" applyProtection="1">
      <alignment vertical="top"/>
      <protection locked="0"/>
    </xf>
    <xf numFmtId="165" fontId="8" fillId="0" borderId="35" xfId="0" applyNumberFormat="1" applyFont="1" applyBorder="1" applyAlignment="1">
      <alignment vertical="top"/>
    </xf>
    <xf numFmtId="165" fontId="2" fillId="0" borderId="92" xfId="0" applyNumberFormat="1" applyFont="1" applyBorder="1" applyAlignment="1">
      <alignment vertical="top"/>
    </xf>
    <xf numFmtId="165" fontId="2" fillId="4" borderId="51" xfId="0" applyNumberFormat="1" applyFont="1" applyFill="1" applyBorder="1" applyAlignment="1" applyProtection="1">
      <alignment vertical="top"/>
      <protection locked="0"/>
    </xf>
    <xf numFmtId="166" fontId="2" fillId="4" borderId="2" xfId="0" applyNumberFormat="1" applyFont="1" applyFill="1" applyBorder="1" applyAlignment="1" applyProtection="1">
      <alignment horizontal="center" vertical="center" wrapText="1"/>
      <protection locked="0"/>
    </xf>
    <xf numFmtId="0" fontId="2" fillId="4" borderId="19" xfId="0" applyFont="1" applyFill="1" applyBorder="1" applyAlignment="1" applyProtection="1">
      <alignment vertical="top"/>
      <protection locked="0"/>
    </xf>
    <xf numFmtId="0" fontId="2" fillId="4" borderId="20" xfId="0" applyFont="1" applyFill="1" applyBorder="1" applyAlignment="1" applyProtection="1">
      <alignment vertical="top"/>
      <protection locked="0"/>
    </xf>
    <xf numFmtId="0" fontId="2" fillId="4" borderId="28" xfId="0" applyFont="1" applyFill="1" applyBorder="1" applyAlignment="1" applyProtection="1">
      <alignment vertical="top"/>
      <protection locked="0"/>
    </xf>
    <xf numFmtId="0" fontId="2" fillId="4" borderId="29" xfId="0" applyFont="1" applyFill="1" applyBorder="1" applyAlignment="1" applyProtection="1">
      <alignment vertical="top"/>
      <protection locked="0"/>
    </xf>
    <xf numFmtId="165" fontId="2" fillId="4" borderId="26" xfId="0" applyNumberFormat="1" applyFont="1" applyFill="1" applyBorder="1" applyAlignment="1" applyProtection="1">
      <alignment vertical="top"/>
      <protection locked="0"/>
    </xf>
    <xf numFmtId="165" fontId="8" fillId="0" borderId="99" xfId="0" applyNumberFormat="1" applyFont="1" applyBorder="1" applyAlignment="1">
      <alignment vertical="top"/>
    </xf>
    <xf numFmtId="165" fontId="8" fillId="0" borderId="101" xfId="0" applyNumberFormat="1" applyFont="1" applyBorder="1" applyAlignment="1">
      <alignment vertical="top"/>
    </xf>
    <xf numFmtId="0" fontId="2" fillId="0" borderId="98" xfId="0" applyFont="1" applyBorder="1" applyAlignment="1">
      <alignment vertical="top"/>
    </xf>
    <xf numFmtId="165" fontId="2" fillId="0" borderId="97" xfId="0" applyNumberFormat="1" applyFont="1" applyBorder="1" applyAlignment="1">
      <alignment vertical="top"/>
    </xf>
    <xf numFmtId="0" fontId="8" fillId="0" borderId="2" xfId="0" applyFont="1" applyBorder="1" applyAlignment="1">
      <alignment vertical="center"/>
    </xf>
    <xf numFmtId="0" fontId="2" fillId="0" borderId="2" xfId="0" applyFont="1" applyBorder="1" applyAlignment="1">
      <alignment horizontal="center" vertical="center"/>
    </xf>
    <xf numFmtId="0" fontId="8" fillId="0" borderId="100" xfId="0" applyFont="1" applyBorder="1" applyAlignment="1">
      <alignment vertical="top"/>
    </xf>
    <xf numFmtId="0" fontId="6" fillId="0" borderId="3" xfId="0" applyFont="1" applyBorder="1" applyAlignment="1">
      <alignment vertical="top"/>
    </xf>
    <xf numFmtId="0" fontId="5" fillId="3" borderId="60" xfId="0" applyFont="1" applyFill="1" applyBorder="1" applyAlignment="1">
      <alignment vertical="center" wrapText="1"/>
    </xf>
    <xf numFmtId="0" fontId="6" fillId="0" borderId="5" xfId="0" applyFont="1" applyBorder="1" applyAlignment="1">
      <alignment vertical="top"/>
    </xf>
    <xf numFmtId="0" fontId="2" fillId="0" borderId="10" xfId="0" applyFont="1" applyBorder="1" applyAlignment="1">
      <alignment vertical="top" wrapText="1"/>
    </xf>
    <xf numFmtId="0" fontId="16" fillId="0" borderId="2" xfId="0" applyFont="1" applyBorder="1" applyAlignment="1">
      <alignment vertical="top" wrapText="1"/>
    </xf>
    <xf numFmtId="0" fontId="6" fillId="5" borderId="2" xfId="0" applyFont="1" applyFill="1" applyBorder="1" applyAlignment="1">
      <alignment vertical="top"/>
    </xf>
    <xf numFmtId="0" fontId="8" fillId="0" borderId="57" xfId="0" applyFont="1" applyBorder="1" applyAlignment="1">
      <alignment vertical="top"/>
    </xf>
    <xf numFmtId="164" fontId="6" fillId="5" borderId="78" xfId="0" applyNumberFormat="1" applyFont="1" applyFill="1" applyBorder="1" applyAlignment="1">
      <alignment vertical="top"/>
    </xf>
    <xf numFmtId="164" fontId="8" fillId="0" borderId="59" xfId="0" applyNumberFormat="1" applyFont="1" applyBorder="1" applyAlignment="1">
      <alignment vertical="top"/>
    </xf>
    <xf numFmtId="164" fontId="6" fillId="5" borderId="79" xfId="0" applyNumberFormat="1" applyFont="1" applyFill="1" applyBorder="1" applyAlignment="1">
      <alignment vertical="top"/>
    </xf>
    <xf numFmtId="165" fontId="8" fillId="0" borderId="59" xfId="0" applyNumberFormat="1" applyFont="1" applyBorder="1" applyAlignment="1">
      <alignment vertical="top"/>
    </xf>
    <xf numFmtId="0" fontId="8" fillId="0" borderId="58" xfId="0" applyFont="1" applyBorder="1" applyAlignment="1">
      <alignment vertical="top"/>
    </xf>
    <xf numFmtId="0" fontId="8" fillId="0" borderId="0" xfId="0" applyFont="1" applyAlignment="1">
      <alignment vertical="top"/>
    </xf>
    <xf numFmtId="164" fontId="6" fillId="5" borderId="81" xfId="0" applyNumberFormat="1" applyFont="1" applyFill="1" applyBorder="1" applyAlignment="1">
      <alignment vertical="top"/>
    </xf>
    <xf numFmtId="0" fontId="2" fillId="0" borderId="4" xfId="0" applyFont="1" applyBorder="1" applyAlignment="1">
      <alignment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18" xfId="0" applyFont="1" applyBorder="1" applyAlignment="1">
      <alignment vertical="top"/>
    </xf>
    <xf numFmtId="0" fontId="2" fillId="0" borderId="21" xfId="0" applyFont="1" applyBorder="1" applyAlignment="1">
      <alignment vertical="top"/>
    </xf>
    <xf numFmtId="0" fontId="2" fillId="0" borderId="21" xfId="0" applyFont="1" applyBorder="1" applyAlignment="1">
      <alignment vertical="top" wrapText="1"/>
    </xf>
    <xf numFmtId="0" fontId="6" fillId="0" borderId="23" xfId="0" applyFont="1" applyBorder="1" applyAlignment="1">
      <alignment vertical="top"/>
    </xf>
    <xf numFmtId="0" fontId="2" fillId="0" borderId="27" xfId="0" applyFont="1" applyBorder="1" applyAlignment="1">
      <alignment vertical="top" wrapText="1"/>
    </xf>
    <xf numFmtId="0" fontId="6" fillId="0" borderId="29" xfId="0" applyFont="1" applyBorder="1" applyAlignment="1">
      <alignment vertical="top"/>
    </xf>
    <xf numFmtId="7" fontId="8" fillId="0" borderId="100" xfId="0" applyNumberFormat="1" applyFont="1" applyBorder="1" applyAlignment="1">
      <alignment vertical="top"/>
    </xf>
    <xf numFmtId="7" fontId="8" fillId="0" borderId="99" xfId="0" applyNumberFormat="1" applyFont="1" applyBorder="1" applyAlignment="1">
      <alignment vertical="top"/>
    </xf>
    <xf numFmtId="0" fontId="8" fillId="0" borderId="26" xfId="0" applyFont="1" applyBorder="1" applyAlignment="1">
      <alignment vertical="top"/>
    </xf>
    <xf numFmtId="0" fontId="8" fillId="0" borderId="10" xfId="0" applyFont="1" applyBorder="1" applyAlignment="1">
      <alignment vertical="top" wrapText="1"/>
    </xf>
    <xf numFmtId="0" fontId="2" fillId="0" borderId="103" xfId="0" applyFont="1" applyBorder="1" applyAlignment="1" applyProtection="1">
      <alignment vertical="top" wrapText="1"/>
      <protection locked="0"/>
    </xf>
    <xf numFmtId="165" fontId="2" fillId="0" borderId="104" xfId="0" applyNumberFormat="1" applyFont="1" applyBorder="1" applyAlignment="1">
      <alignment vertical="top"/>
    </xf>
    <xf numFmtId="9" fontId="2" fillId="0" borderId="28" xfId="0" applyNumberFormat="1" applyFont="1" applyBorder="1" applyAlignment="1">
      <alignment horizontal="right" vertical="top" wrapText="1"/>
    </xf>
    <xf numFmtId="0" fontId="8" fillId="0" borderId="102" xfId="0" applyFont="1" applyBorder="1" applyAlignment="1">
      <alignment vertical="top" wrapText="1"/>
    </xf>
    <xf numFmtId="0" fontId="8" fillId="0" borderId="8" xfId="0" applyFont="1" applyBorder="1" applyAlignment="1">
      <alignment vertical="top" wrapText="1"/>
    </xf>
    <xf numFmtId="0" fontId="2" fillId="4" borderId="69" xfId="2" applyNumberFormat="1" applyFont="1" applyFill="1" applyBorder="1" applyAlignment="1" applyProtection="1">
      <alignment horizontal="center" vertical="top"/>
      <protection locked="0"/>
    </xf>
    <xf numFmtId="0" fontId="2" fillId="4" borderId="71" xfId="2" applyNumberFormat="1" applyFont="1" applyFill="1" applyBorder="1" applyAlignment="1" applyProtection="1">
      <alignment horizontal="center" vertical="top"/>
      <protection locked="0"/>
    </xf>
    <xf numFmtId="0" fontId="2" fillId="4" borderId="73" xfId="2" applyNumberFormat="1" applyFont="1" applyFill="1" applyBorder="1" applyAlignment="1" applyProtection="1">
      <alignment horizontal="center" vertical="top"/>
      <protection locked="0"/>
    </xf>
    <xf numFmtId="0" fontId="2" fillId="4" borderId="75" xfId="2" applyNumberFormat="1" applyFont="1" applyFill="1" applyBorder="1" applyAlignment="1" applyProtection="1">
      <alignment horizontal="center" vertical="top"/>
      <protection locked="0"/>
    </xf>
    <xf numFmtId="0" fontId="2" fillId="4" borderId="66" xfId="2" applyNumberFormat="1" applyFont="1" applyFill="1" applyBorder="1" applyAlignment="1" applyProtection="1">
      <alignment horizontal="center" vertical="top"/>
      <protection locked="0"/>
    </xf>
    <xf numFmtId="0" fontId="8" fillId="0" borderId="88" xfId="0" applyNumberFormat="1" applyFont="1" applyBorder="1" applyAlignment="1">
      <alignment horizontal="center" vertical="top"/>
    </xf>
    <xf numFmtId="0" fontId="8" fillId="0" borderId="77" xfId="0" applyNumberFormat="1" applyFont="1" applyBorder="1" applyAlignment="1">
      <alignment horizontal="center" vertical="top"/>
    </xf>
    <xf numFmtId="49" fontId="8" fillId="4" borderId="64" xfId="0" applyNumberFormat="1" applyFont="1" applyFill="1" applyBorder="1" applyAlignment="1" applyProtection="1">
      <alignment horizontal="center" vertical="center" wrapText="1"/>
      <protection locked="0"/>
    </xf>
    <xf numFmtId="49" fontId="8" fillId="4" borderId="65" xfId="0" applyNumberFormat="1" applyFont="1" applyFill="1" applyBorder="1" applyAlignment="1" applyProtection="1">
      <alignment horizontal="center" vertical="center" wrapText="1"/>
      <protection locked="0"/>
    </xf>
  </cellXfs>
  <cellStyles count="3">
    <cellStyle name="Hyperlinkki" xfId="1" builtinId="8"/>
    <cellStyle name="Normaali" xfId="0" builtinId="0"/>
    <cellStyle name="Pilkku" xfId="2" builtinId="3"/>
  </cellStyles>
  <dxfs count="811">
    <dxf>
      <font>
        <color rgb="FFFF0000"/>
      </font>
      <fill>
        <patternFill patternType="none">
          <fgColor auto="1"/>
          <bgColor auto="1"/>
        </patternFill>
      </fill>
    </dxf>
    <dxf>
      <font>
        <color rgb="FFFF0000"/>
      </font>
      <fill>
        <patternFill patternType="none">
          <fgColor auto="1"/>
          <bgColor auto="1"/>
        </patternFill>
      </fill>
    </dxf>
    <dxf>
      <font>
        <color rgb="FFFF0000"/>
      </font>
      <fill>
        <patternFill patternType="none">
          <fgColor auto="1"/>
          <bgColor auto="1"/>
        </patternFill>
      </fill>
    </dxf>
    <dxf>
      <font>
        <color theme="0"/>
      </font>
      <fill>
        <patternFill>
          <bgColor rgb="FFA00000"/>
        </patternFill>
      </fill>
    </dxf>
    <dxf>
      <fill>
        <patternFill>
          <bgColor theme="9" tint="0.79998168889431442"/>
        </patternFill>
      </fill>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rgb="FFFFFFFF"/>
        </top>
      </border>
    </dxf>
    <dxf>
      <border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alignment horizontal="general" vertical="top" textRotation="0" wrapText="1" indent="0" justifyLastLine="0" shrinkToFit="0" readingOrder="0"/>
      <protection locked="1" hidden="0"/>
    </dxf>
    <dxf>
      <border outline="0">
        <bottom style="thin">
          <color rgb="FFFFFFFF"/>
        </bottom>
      </border>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rgb="FF2F75B5"/>
        </top>
      </border>
    </dxf>
    <dxf>
      <font>
        <b val="0"/>
        <i val="0"/>
        <strike val="0"/>
        <condense val="0"/>
        <extend val="0"/>
        <outline val="0"/>
        <shadow val="0"/>
        <u val="none"/>
        <vertAlign val="baseline"/>
        <sz val="14"/>
        <color rgb="FF000000"/>
        <name val="Arial"/>
        <family val="2"/>
        <scheme val="none"/>
      </font>
      <numFmt numFmtId="164" formatCode="#,##0\ &quot;€&quo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1" hidden="0"/>
    </dxf>
    <dxf>
      <border outline="0">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numFmt numFmtId="164" formatCode="#,##0\ &quot;€&quot;"/>
      <fill>
        <patternFill patternType="solid">
          <fgColor rgb="FF000000"/>
          <bgColor rgb="FFFFF2CC"/>
        </patternFill>
      </fill>
      <alignment horizontal="general" vertical="top" textRotation="0" wrapText="0" indent="0" justifyLastLine="0" shrinkToFit="0" readingOrder="0"/>
      <protection locked="0" hidden="0"/>
    </dxf>
    <dxf>
      <border outline="0">
        <bottom style="thin">
          <color rgb="FFFFFFFF"/>
        </bottom>
      </border>
    </dxf>
    <dxf>
      <font>
        <b val="0"/>
        <i val="0"/>
        <strike val="0"/>
        <condense val="0"/>
        <extend val="0"/>
        <outline val="0"/>
        <shadow val="0"/>
        <u val="none"/>
        <vertAlign val="baseline"/>
        <sz val="14"/>
        <color theme="1"/>
        <name val="Arial"/>
        <family val="2"/>
        <scheme val="none"/>
      </font>
      <alignment horizontal="center"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rgb="FFFFFFFF"/>
        </top>
      </border>
    </dxf>
    <dxf>
      <border outline="0">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1" hidden="0"/>
    </dxf>
    <dxf>
      <border>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center"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rgb="FF2F75B5"/>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rgb="FF4472C4"/>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rgb="FFFFFFFF"/>
        </top>
      </border>
    </dxf>
    <dxf>
      <border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alignment horizontal="general" vertical="top" textRotation="0" wrapText="1" indent="0" justifyLastLine="0" shrinkToFit="0" readingOrder="0"/>
      <protection locked="1" hidden="0"/>
    </dxf>
    <dxf>
      <border outline="0">
        <bottom style="thin">
          <color rgb="FFFFFFFF"/>
        </bottom>
      </border>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rgb="FF2F75B5"/>
        </top>
      </border>
    </dxf>
    <dxf>
      <font>
        <b val="0"/>
        <i val="0"/>
        <strike val="0"/>
        <condense val="0"/>
        <extend val="0"/>
        <outline val="0"/>
        <shadow val="0"/>
        <u val="none"/>
        <vertAlign val="baseline"/>
        <sz val="14"/>
        <color rgb="FF000000"/>
        <name val="Arial"/>
        <family val="2"/>
        <scheme val="none"/>
      </font>
      <numFmt numFmtId="164" formatCode="#,##0\ &quot;€&quo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1" hidden="0"/>
    </dxf>
    <dxf>
      <border outline="0">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numFmt numFmtId="164" formatCode="#,##0\ &quot;€&quot;"/>
      <fill>
        <patternFill patternType="solid">
          <fgColor rgb="FF000000"/>
          <bgColor rgb="FFFFF2CC"/>
        </patternFill>
      </fill>
      <alignment horizontal="general" vertical="top" textRotation="0" wrapText="0" indent="0" justifyLastLine="0" shrinkToFit="0" readingOrder="0"/>
      <protection locked="0" hidden="0"/>
    </dxf>
    <dxf>
      <border outline="0">
        <bottom style="thin">
          <color rgb="FFFFFFFF"/>
        </bottom>
      </border>
    </dxf>
    <dxf>
      <font>
        <b val="0"/>
        <i val="0"/>
        <strike val="0"/>
        <condense val="0"/>
        <extend val="0"/>
        <outline val="0"/>
        <shadow val="0"/>
        <u val="none"/>
        <vertAlign val="baseline"/>
        <sz val="14"/>
        <color theme="1"/>
        <name val="Arial"/>
        <family val="2"/>
        <scheme val="none"/>
      </font>
      <alignment horizontal="center"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rgb="FFFFFFFF"/>
        </top>
      </border>
    </dxf>
    <dxf>
      <border outline="0">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1" hidden="0"/>
    </dxf>
    <dxf>
      <border>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center"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rgb="FF2F75B5"/>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rgb="FF4472C4"/>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theme="0"/>
        </top>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theme="0"/>
        </top>
      </border>
    </dxf>
    <dxf>
      <border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protection locked="1" hidden="0"/>
    </dxf>
    <dxf>
      <border outline="0">
        <bottom style="thin">
          <color theme="0"/>
        </bottom>
      </border>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theme="8" tint="-0.24994659260841701"/>
        </top>
      </border>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border outline="0">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4"/>
        <color theme="1"/>
        <name val="Arial"/>
        <family val="2"/>
        <scheme val="none"/>
      </font>
      <alignment horizontal="center"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theme="0"/>
        </top>
      </border>
    </dxf>
    <dxf>
      <border outline="0">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1" hidden="0"/>
    </dxf>
    <dxf>
      <border>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theme="0"/>
        </top>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0"/>
        </left>
        <right/>
        <top/>
        <bottom/>
      </border>
      <protection locked="0"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theme="0"/>
        </top>
      </border>
    </dxf>
    <dxf>
      <font>
        <strike val="0"/>
        <outline val="0"/>
        <shadow val="0"/>
        <u val="none"/>
        <vertAlign val="baseline"/>
        <sz val="14"/>
        <color theme="1"/>
        <name val="Arial"/>
        <family val="2"/>
        <scheme val="none"/>
      </font>
      <alignment horizontal="general" vertical="center"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theme="8" tint="-0.24994659260841701"/>
        </top>
      </border>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style="thin">
          <color theme="0"/>
        </right>
        <top/>
        <bottom/>
        <vertical style="thin">
          <color theme="0"/>
        </vertical>
        <horizontal/>
      </border>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theme="4"/>
        </top>
      </border>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style="thin">
          <color theme="0"/>
        </right>
        <top/>
        <bottom/>
      </border>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numFmt numFmtId="165" formatCode="#,##0.00\ &quot;€&quot;"/>
      <border diagonalUp="0" diagonalDown="0">
        <right style="thick">
          <color theme="4" tint="-0.499984740745262"/>
        </right>
        <top style="medium">
          <color theme="4"/>
        </top>
        <bottom style="medium">
          <color theme="4"/>
        </bottom>
        <vertical style="thick">
          <color theme="4" tint="-0.499984740745262"/>
        </vertical>
        <horizontal style="medium">
          <color theme="4"/>
        </horizontal>
      </border>
      <protection locked="0" hidden="0"/>
    </dxf>
    <dxf>
      <numFmt numFmtId="165" formatCode="#,##0.00\ &quot;€&quot;"/>
      <border diagonalUp="0" diagonalDown="0">
        <left style="thick">
          <color theme="4" tint="-0.499984740745262"/>
        </left>
        <top style="medium">
          <color theme="4"/>
        </top>
        <bottom style="medium">
          <color theme="4"/>
        </bottom>
        <horizontal style="medium">
          <color theme="4"/>
        </horizontal>
      </border>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4506668294322"/>
        </top>
        <bottom/>
        <vertical/>
        <horizontal/>
      </border>
      <protection locked="0" hidden="0"/>
    </dxf>
    <dxf>
      <border outline="0">
        <left style="thin">
          <color theme="0"/>
        </left>
        <right style="thin">
          <color theme="0"/>
        </right>
        <bottom style="thin">
          <color theme="0"/>
        </bottom>
      </border>
    </dxf>
    <dxf>
      <protection locked="0" hidden="0"/>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center" vertical="center" textRotation="0" wrapText="0" indent="0" justifyLastLine="0" shrinkToFit="0" readingOrder="0"/>
      <border diagonalUp="0" diagonalDown="0">
        <left style="thin">
          <color theme="0"/>
        </left>
        <right style="thin">
          <color theme="0"/>
        </right>
        <top/>
        <bottom/>
      </border>
      <protection locked="0" hidden="0"/>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1" hidden="0"/>
    </dxf>
    <dxf>
      <border diagonalUp="0" diagonalDown="0" outline="0">
        <left/>
        <right style="thin">
          <color theme="0"/>
        </right>
        <top style="thin">
          <color theme="0"/>
        </top>
        <bottom/>
      </border>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1" hidden="0"/>
    </dxf>
    <dxf>
      <border outline="0">
        <top style="thin">
          <color theme="0"/>
        </top>
      </border>
    </dxf>
    <dxf>
      <font>
        <strike val="0"/>
        <outline val="0"/>
        <shadow val="0"/>
        <u val="none"/>
        <vertAlign val="baseline"/>
        <sz val="14"/>
        <color theme="1"/>
        <name val="Arial"/>
        <family val="2"/>
        <scheme val="none"/>
      </font>
      <alignment vertical="top" textRotation="0" wrapText="0" indent="0" justifyLastLine="0" shrinkToFit="0" readingOrder="0"/>
      <protection locked="1"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wrapText="0" indent="0" justifyLastLine="0" shrinkToFit="0" readingOrder="0"/>
      <protection locked="1" hidden="0"/>
    </dxf>
    <dxf>
      <border outline="0">
        <bottom style="thin">
          <color theme="0"/>
        </bottom>
      </border>
    </dxf>
    <dxf>
      <font>
        <strike val="0"/>
        <outline val="0"/>
        <shadow val="0"/>
        <u val="none"/>
        <vertAlign val="baseline"/>
        <sz val="14"/>
        <color theme="1"/>
        <name val="Arial"/>
        <family val="2"/>
        <scheme val="none"/>
      </font>
      <alignment vertical="center" textRotation="0" wrapText="0" indent="0" justifyLastLine="0" shrinkToFit="0" readingOrder="0"/>
      <protection locked="1" hidden="0"/>
    </dxf>
    <dxf>
      <font>
        <strike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vertical/>
        <horizontal/>
      </border>
      <protection locked="0" hidden="0"/>
    </dxf>
    <dxf>
      <font>
        <b/>
        <strike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4"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medium">
          <color theme="0"/>
        </left>
        <right style="medium">
          <color theme="0"/>
        </right>
        <top style="medium">
          <color theme="4"/>
        </top>
        <bottom/>
      </border>
    </dxf>
    <dxf>
      <font>
        <b/>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b val="0"/>
        <i val="0"/>
        <strike val="0"/>
        <condense val="0"/>
        <extend val="0"/>
        <outline val="0"/>
        <shadow val="0"/>
        <u val="none"/>
        <vertAlign val="baseline"/>
        <sz val="14"/>
        <color theme="1"/>
        <name val="Arial"/>
        <family val="2"/>
        <scheme val="none"/>
      </font>
      <alignment horizontal="center" vertical="top" textRotation="0" wrapText="0" indent="0" justifyLastLine="0" shrinkToFit="0" readingOrder="0"/>
      <border diagonalUp="0" diagonalDown="0" outline="0">
        <left style="thin">
          <color theme="0"/>
        </left>
        <right style="thin">
          <color theme="0"/>
        </right>
        <top/>
        <bottom/>
      </border>
    </dxf>
    <dxf>
      <font>
        <i/>
        <strike val="0"/>
        <outline val="0"/>
        <shadow val="0"/>
        <u val="none"/>
        <vertAlign val="baseline"/>
        <sz val="14"/>
        <color theme="0"/>
        <name val="Arial"/>
        <family val="2"/>
        <scheme val="none"/>
      </font>
      <numFmt numFmtId="164"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medium">
          <color theme="0"/>
        </left>
        <right style="medium">
          <color theme="0"/>
        </right>
        <top style="medium">
          <color theme="4"/>
        </top>
        <bottom/>
      </border>
    </dxf>
    <dxf>
      <font>
        <b/>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4"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4"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4"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val="0"/>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vertical/>
        <horizontal/>
      </border>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horizontal="center" vertical="top" textRotation="0" wrapText="0" indent="0" justifyLastLine="0" shrinkToFit="0" readingOrder="0"/>
      <border diagonalUp="0" diagonalDown="0">
        <left style="thick">
          <color theme="4" tint="-0.49998474074526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fill>
        <patternFill patternType="solid">
          <fgColor indexed="64"/>
          <bgColor theme="7" tint="0.79998168889431442"/>
        </patternFill>
      </fill>
      <alignment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fill>
        <patternFill patternType="solid">
          <fgColor indexed="64"/>
          <bgColor theme="7" tint="0.79998168889431442"/>
        </patternFill>
      </fill>
      <alignment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style="thin">
          <color theme="0"/>
        </bottom>
        <vertical/>
        <horizontal/>
      </border>
      <protection locked="0" hidden="0"/>
    </dxf>
    <dxf>
      <border outline="0">
        <top style="thin">
          <color theme="0"/>
        </top>
      </border>
    </dxf>
    <dxf>
      <border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protection locked="0" hidden="0"/>
    </dxf>
    <dxf>
      <border outline="0">
        <bottom style="thin">
          <color theme="0"/>
        </bottom>
      </border>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general" vertical="center" textRotation="0" wrapText="1" indent="0" justifyLastLine="0" shrinkToFit="0" readingOrder="0"/>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vertical="top" textRotation="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vertical="top" textRotation="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strike val="0"/>
        <condense val="0"/>
        <extend val="0"/>
        <outline val="0"/>
        <shadow val="0"/>
        <u val="none"/>
        <vertAlign val="baseline"/>
        <sz val="14"/>
        <color theme="1"/>
        <name val="Arial"/>
        <family val="2"/>
        <scheme val="none"/>
      </font>
      <alignment horizontal="center" vertical="top" textRotation="0" wrapText="0" indent="0" justifyLastLine="0" shrinkToFit="0" readingOrder="0"/>
      <border diagonalUp="0" diagonalDown="0" outline="0">
        <left/>
        <right style="thin">
          <color theme="4" tint="0.39994506668294322"/>
        </right>
        <top style="thin">
          <color theme="0"/>
        </top>
        <bottom style="thin">
          <color theme="4" tint="0.39994506668294322"/>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top style="thin">
          <color theme="4" tint="0.39994506668294322"/>
        </top>
        <bottom style="thin">
          <color theme="4" tint="0.39994506668294322"/>
        </bottom>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wrapText="0" indent="0" justifyLastLine="0" shrinkToFit="0" readingOrder="0"/>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1"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vertical/>
        <horizontal/>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wrapText="1"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wrapText="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style="thin">
          <color theme="0"/>
        </bottom>
        <vertical/>
        <horizontal/>
      </border>
      <protection locked="0" hidden="0"/>
    </dxf>
    <dxf>
      <border outline="0">
        <top style="thin">
          <color theme="0"/>
        </top>
      </border>
    </dxf>
    <dxf>
      <border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protection locked="0" hidden="0"/>
    </dxf>
    <dxf>
      <border outline="0">
        <bottom style="thin">
          <color theme="0"/>
        </bottom>
      </border>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general" vertical="center" textRotation="0" wrapText="1" indent="0" justifyLastLine="0" shrinkToFit="0" readingOrder="0"/>
      <protection locked="0" hidden="0"/>
    </dxf>
    <dxf>
      <font>
        <b/>
        <strike val="0"/>
        <outline val="0"/>
        <shadow val="0"/>
        <u val="none"/>
        <vertAlign val="baseline"/>
        <sz val="14"/>
        <color theme="1"/>
        <name val="Arial"/>
        <family val="2"/>
        <scheme val="none"/>
      </font>
      <numFmt numFmtId="164" formatCode="#,##0\ &quot;€&quot;"/>
      <alignment horizontal="center" vertical="center" textRotation="0" wrapText="0" indent="0" justifyLastLine="0" shrinkToFit="0" readingOrder="0"/>
      <border diagonalUp="0" diagonalDown="0" outline="0">
        <left style="thin">
          <color theme="0"/>
        </left>
        <right/>
        <top style="thin">
          <color theme="0"/>
        </top>
        <bottom/>
      </border>
      <protection locked="1" hidden="0"/>
    </dxf>
    <dxf>
      <font>
        <b/>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bottom/>
      </border>
      <protection locked="1" hidden="0"/>
    </dxf>
    <dxf>
      <font>
        <b val="0"/>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top style="thin">
          <color theme="0"/>
        </top>
        <bottom/>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4"/>
        </top>
        <bottom style="thin">
          <color theme="0"/>
        </bottom>
      </border>
      <protection locked="0" hidden="0"/>
    </dxf>
    <dxf>
      <font>
        <strike val="0"/>
        <outline val="0"/>
        <shadow val="0"/>
        <u val="none"/>
        <vertAlign val="baseline"/>
        <sz val="14"/>
        <name val="Arial"/>
        <family val="2"/>
        <scheme val="none"/>
      </font>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4"/>
        </top>
        <bottom style="thin">
          <color theme="0"/>
        </bottom>
      </border>
    </dxf>
    <dxf>
      <font>
        <strike val="0"/>
        <outline val="0"/>
        <shadow val="0"/>
        <u val="none"/>
        <vertAlign val="baseline"/>
        <sz val="14"/>
        <name val="Arial"/>
        <family val="2"/>
        <scheme val="none"/>
      </font>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0"/>
        </right>
        <top style="medium">
          <color theme="4"/>
        </top>
        <bottom/>
      </border>
      <protection locked="0" hidden="0"/>
    </dxf>
    <dxf>
      <font>
        <strike val="0"/>
        <outline val="0"/>
        <shadow val="0"/>
        <u val="none"/>
        <vertAlign val="baseline"/>
        <sz val="14"/>
        <color theme="1"/>
        <name val="Arial"/>
        <family val="2"/>
        <scheme val="none"/>
      </font>
      <numFmt numFmtId="30" formatCode="@"/>
      <fill>
        <patternFill patternType="solid">
          <fgColor indexed="64"/>
          <bgColor theme="7" tint="0.79998168889431442"/>
        </patternFill>
      </fill>
      <alignment horizontal="general" vertical="top" textRotation="0" wrapText="0" indent="0" justifyLastLine="0" shrinkToFit="0" readingOrder="0"/>
      <border diagonalUp="0" diagonalDown="0" outline="0">
        <left style="thin">
          <color theme="4" tint="0.39994506668294322"/>
        </left>
        <right style="thin">
          <color theme="0"/>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top style="medium">
          <color theme="4"/>
        </top>
        <bottom/>
      </border>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style="thin">
          <color theme="4" tint="0.39994506668294322"/>
        </left>
        <right style="thin">
          <color theme="0"/>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font>
    </dxf>
    <dxf>
      <font>
        <b/>
        <i val="0"/>
      </font>
    </dxf>
    <dxf>
      <font>
        <b/>
        <i val="0"/>
        <color theme="0"/>
      </font>
      <fill>
        <patternFill>
          <bgColor theme="4" tint="-0.499984740745262"/>
        </patternFill>
      </fill>
    </dxf>
  </dxfs>
  <tableStyles count="1" defaultTableStyle="Helsinki_taulukko_tyyli" defaultPivotStyle="PivotStyleLight16">
    <tableStyle name="Helsinki_taulukko_tyyli" pivot="0" count="3" xr9:uid="{7354961F-7412-694D-9B41-12A9C339B086}">
      <tableStyleElement type="headerRow" dxfId="810"/>
      <tableStyleElement type="totalRow" dxfId="809"/>
      <tableStyleElement type="firstColumnStripe" dxfId="808"/>
    </tableStyle>
  </tableStyles>
  <colors>
    <mruColors>
      <color rgb="FFFFFBF2"/>
      <color rgb="FFFFF8E5"/>
      <color rgb="FFA00000"/>
      <color rgb="FFF1DBFF"/>
      <color rgb="FFE5C3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127000</xdr:colOff>
      <xdr:row>10</xdr:row>
      <xdr:rowOff>114300</xdr:rowOff>
    </xdr:from>
    <xdr:to>
      <xdr:col>12</xdr:col>
      <xdr:colOff>279400</xdr:colOff>
      <xdr:row>13</xdr:row>
      <xdr:rowOff>114300</xdr:rowOff>
    </xdr:to>
    <xdr:sp macro="" textlink="">
      <xdr:nvSpPr>
        <xdr:cNvPr id="4" name="Round Single Corner of Rectangle 3">
          <a:extLst>
            <a:ext uri="{FF2B5EF4-FFF2-40B4-BE49-F238E27FC236}">
              <a16:creationId xmlns:a16="http://schemas.microsoft.com/office/drawing/2014/main" id="{5EDD540C-6EE2-1BFF-75AB-D87842BAB496}"/>
            </a:ext>
            <a:ext uri="{C183D7F6-B498-43B3-948B-1728B52AA6E4}">
              <adec:decorative xmlns:adec="http://schemas.microsoft.com/office/drawing/2017/decorative" val="1"/>
            </a:ext>
          </a:extLst>
        </xdr:cNvPr>
        <xdr:cNvSpPr/>
      </xdr:nvSpPr>
      <xdr:spPr>
        <a:xfrm>
          <a:off x="9982200" y="6007100"/>
          <a:ext cx="6756400" cy="7620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n-gb" sz="1200" b="1">
              <a:solidFill>
                <a:schemeClr val="tx1"/>
              </a:solidFill>
              <a:latin typeface="Arial" panose="020B0604020202020204" pitchFamily="34" charset="0"/>
              <a:cs typeface="Arial" panose="020B0604020202020204" pitchFamily="34" charset="0"/>
            </a:rPr>
            <a:t>Business start-up costs: </a:t>
          </a:r>
          <a:r>
            <a:rPr lang="en-gb" sz="1200">
              <a:solidFill>
                <a:schemeClr val="tx1"/>
              </a:solidFill>
              <a:latin typeface="Arial" panose="020B0604020202020204" pitchFamily="34" charset="0"/>
              <a:cs typeface="Arial" panose="020B0604020202020204" pitchFamily="34" charset="0"/>
            </a:rPr>
            <a:t>Registering a sole proprietorship costs €75, while registering a limited liability company costs €300. Start-up costs may also include expenses such as drawing up a shareholders’ agreement or obtaining sector-specific permits.</a:t>
          </a:r>
        </a:p>
      </xdr:txBody>
    </xdr:sp>
    <xdr:clientData/>
  </xdr:twoCellAnchor>
  <xdr:twoCellAnchor>
    <xdr:from>
      <xdr:col>4</xdr:col>
      <xdr:colOff>127000</xdr:colOff>
      <xdr:row>13</xdr:row>
      <xdr:rowOff>190500</xdr:rowOff>
    </xdr:from>
    <xdr:to>
      <xdr:col>12</xdr:col>
      <xdr:colOff>279400</xdr:colOff>
      <xdr:row>16</xdr:row>
      <xdr:rowOff>228600</xdr:rowOff>
    </xdr:to>
    <xdr:sp macro="" textlink="">
      <xdr:nvSpPr>
        <xdr:cNvPr id="5" name="Round Single Corner of Rectangle 4">
          <a:extLst>
            <a:ext uri="{FF2B5EF4-FFF2-40B4-BE49-F238E27FC236}">
              <a16:creationId xmlns:a16="http://schemas.microsoft.com/office/drawing/2014/main" id="{BAD2FEDB-8F91-0E42-A722-E196835FF502}"/>
            </a:ext>
            <a:ext uri="{C183D7F6-B498-43B3-948B-1728B52AA6E4}">
              <adec:decorative xmlns:adec="http://schemas.microsoft.com/office/drawing/2017/decorative" val="1"/>
            </a:ext>
          </a:extLst>
        </xdr:cNvPr>
        <xdr:cNvSpPr/>
      </xdr:nvSpPr>
      <xdr:spPr>
        <a:xfrm>
          <a:off x="9982200" y="6845300"/>
          <a:ext cx="6756400" cy="8001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n-gb" sz="1200" b="1">
              <a:solidFill>
                <a:schemeClr val="tx1"/>
              </a:solidFill>
              <a:latin typeface="Arial" panose="020B0604020202020204" pitchFamily="34" charset="0"/>
              <a:cs typeface="Arial" panose="020B0604020202020204" pitchFamily="34" charset="0"/>
            </a:rPr>
            <a:t>Available</a:t>
          </a:r>
          <a:r>
            <a:rPr lang="en-gb" sz="1200" b="1" baseline="0">
              <a:solidFill>
                <a:schemeClr val="tx1"/>
              </a:solidFill>
              <a:latin typeface="Arial" panose="020B0604020202020204" pitchFamily="34" charset="0"/>
              <a:cs typeface="Arial" panose="020B0604020202020204" pitchFamily="34" charset="0"/>
            </a:rPr>
            <a:t> tools and equipment</a:t>
          </a:r>
          <a:r>
            <a:rPr lang="en-gb" sz="1200" b="0">
              <a:solidFill>
                <a:schemeClr val="tx1"/>
              </a:solidFill>
              <a:latin typeface="Arial" panose="020B0604020202020204" pitchFamily="34" charset="0"/>
              <a:cs typeface="Arial" panose="020B0604020202020204" pitchFamily="34" charset="0"/>
            </a:rPr>
            <a:t>: Enter the estimated value of any tools you may already have available for your business here. The calculation will also automatically transfer their value to the ‘Sources of funds’ table under ‘My tools’.</a:t>
          </a:r>
        </a:p>
      </xdr:txBody>
    </xdr:sp>
    <xdr:clientData/>
  </xdr:twoCellAnchor>
  <xdr:twoCellAnchor>
    <xdr:from>
      <xdr:col>4</xdr:col>
      <xdr:colOff>127000</xdr:colOff>
      <xdr:row>25</xdr:row>
      <xdr:rowOff>76200</xdr:rowOff>
    </xdr:from>
    <xdr:to>
      <xdr:col>12</xdr:col>
      <xdr:colOff>279400</xdr:colOff>
      <xdr:row>28</xdr:row>
      <xdr:rowOff>152400</xdr:rowOff>
    </xdr:to>
    <xdr:sp macro="" textlink="">
      <xdr:nvSpPr>
        <xdr:cNvPr id="6" name="Round Single Corner of Rectangle 5">
          <a:extLst>
            <a:ext uri="{FF2B5EF4-FFF2-40B4-BE49-F238E27FC236}">
              <a16:creationId xmlns:a16="http://schemas.microsoft.com/office/drawing/2014/main" id="{3E722A92-ED02-B24F-8C7A-0950F0AC9E91}"/>
            </a:ext>
            <a:ext uri="{C183D7F6-B498-43B3-948B-1728B52AA6E4}">
              <adec:decorative xmlns:adec="http://schemas.microsoft.com/office/drawing/2017/decorative" val="1"/>
            </a:ext>
          </a:extLst>
        </xdr:cNvPr>
        <xdr:cNvSpPr/>
      </xdr:nvSpPr>
      <xdr:spPr>
        <a:xfrm>
          <a:off x="10731500" y="10820400"/>
          <a:ext cx="6756400" cy="8382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n-gb" sz="1200" b="1">
              <a:solidFill>
                <a:schemeClr val="tx1"/>
              </a:solidFill>
              <a:latin typeface="Arial" panose="020B0604020202020204" pitchFamily="34" charset="0"/>
              <a:cs typeface="Arial" panose="020B0604020202020204" pitchFamily="34" charset="0"/>
            </a:rPr>
            <a:t>Rent for facilities/security deposits: </a:t>
          </a:r>
          <a:r>
            <a:rPr lang="en-gb" sz="1200" b="0">
              <a:solidFill>
                <a:schemeClr val="tx1"/>
              </a:solidFill>
              <a:latin typeface="Arial" panose="020B0604020202020204" pitchFamily="34" charset="0"/>
              <a:cs typeface="Arial" panose="020B0604020202020204" pitchFamily="34" charset="0"/>
            </a:rPr>
            <a:t>If you estimate that it will take three months before you can pay your rent with funds from your revenue (money from customers) and you have to pay a three-month security deposit, you should enter six times your monthly rent.</a:t>
          </a:r>
        </a:p>
      </xdr:txBody>
    </xdr:sp>
    <xdr:clientData/>
  </xdr:twoCellAnchor>
  <xdr:twoCellAnchor>
    <xdr:from>
      <xdr:col>4</xdr:col>
      <xdr:colOff>127000</xdr:colOff>
      <xdr:row>28</xdr:row>
      <xdr:rowOff>222250</xdr:rowOff>
    </xdr:from>
    <xdr:to>
      <xdr:col>12</xdr:col>
      <xdr:colOff>279400</xdr:colOff>
      <xdr:row>32</xdr:row>
      <xdr:rowOff>12700</xdr:rowOff>
    </xdr:to>
    <xdr:sp macro="" textlink="">
      <xdr:nvSpPr>
        <xdr:cNvPr id="7" name="Round Single Corner of Rectangle 6">
          <a:extLst>
            <a:ext uri="{FF2B5EF4-FFF2-40B4-BE49-F238E27FC236}">
              <a16:creationId xmlns:a16="http://schemas.microsoft.com/office/drawing/2014/main" id="{4E4DFBAC-1BBF-CD4B-B5A1-EB24A8C63AE5}"/>
            </a:ext>
            <a:ext uri="{C183D7F6-B498-43B3-948B-1728B52AA6E4}">
              <adec:decorative xmlns:adec="http://schemas.microsoft.com/office/drawing/2017/decorative" val="1"/>
            </a:ext>
          </a:extLst>
        </xdr:cNvPr>
        <xdr:cNvSpPr/>
      </xdr:nvSpPr>
      <xdr:spPr>
        <a:xfrm>
          <a:off x="10731500" y="11728450"/>
          <a:ext cx="6756400" cy="80645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n-gb" sz="1200" b="1">
              <a:solidFill>
                <a:schemeClr val="tx1"/>
              </a:solidFill>
              <a:latin typeface="Arial" panose="020B0604020202020204" pitchFamily="34" charset="0"/>
              <a:cs typeface="Arial" panose="020B0604020202020204" pitchFamily="34" charset="0"/>
            </a:rPr>
            <a:t>The entrepreneur’s own livelihood: </a:t>
          </a:r>
          <a:r>
            <a:rPr lang="en-gb" sz="1200" b="0">
              <a:solidFill>
                <a:schemeClr val="tx1"/>
              </a:solidFill>
              <a:latin typeface="Arial" panose="020B0604020202020204" pitchFamily="34" charset="0"/>
              <a:cs typeface="Arial" panose="020B0604020202020204" pitchFamily="34" charset="0"/>
            </a:rPr>
            <a:t>How much do you need each month to cover your necessary personal expenses? Multiply this figure by the number of months you estimate it will take for your business to start generating a sustainable income for you.</a:t>
          </a:r>
        </a:p>
      </xdr:txBody>
    </xdr:sp>
    <xdr:clientData/>
  </xdr:twoCellAnchor>
  <xdr:twoCellAnchor>
    <xdr:from>
      <xdr:col>4</xdr:col>
      <xdr:colOff>127000</xdr:colOff>
      <xdr:row>49</xdr:row>
      <xdr:rowOff>584200</xdr:rowOff>
    </xdr:from>
    <xdr:to>
      <xdr:col>12</xdr:col>
      <xdr:colOff>368300</xdr:colOff>
      <xdr:row>51</xdr:row>
      <xdr:rowOff>101600</xdr:rowOff>
    </xdr:to>
    <xdr:sp macro="" textlink="">
      <xdr:nvSpPr>
        <xdr:cNvPr id="8" name="Round Single Corner of Rectangle 7">
          <a:extLst>
            <a:ext uri="{FF2B5EF4-FFF2-40B4-BE49-F238E27FC236}">
              <a16:creationId xmlns:a16="http://schemas.microsoft.com/office/drawing/2014/main" id="{E9CC5DA7-8BD0-184A-A09F-99EC975A1E8B}"/>
            </a:ext>
            <a:ext uri="{C183D7F6-B498-43B3-948B-1728B52AA6E4}">
              <adec:decorative xmlns:adec="http://schemas.microsoft.com/office/drawing/2017/decorative" val="1"/>
            </a:ext>
          </a:extLst>
        </xdr:cNvPr>
        <xdr:cNvSpPr/>
      </xdr:nvSpPr>
      <xdr:spPr>
        <a:xfrm>
          <a:off x="9982200" y="17018000"/>
          <a:ext cx="6845300" cy="7874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n-gb" sz="1200" b="1">
              <a:solidFill>
                <a:schemeClr val="tx1"/>
              </a:solidFill>
              <a:latin typeface="Arial" panose="020B0604020202020204" pitchFamily="34" charset="0"/>
              <a:cs typeface="Arial" panose="020B0604020202020204" pitchFamily="34" charset="0"/>
            </a:rPr>
            <a:t>The difference between sources of funds and the need for funds: </a:t>
          </a:r>
          <a:r>
            <a:rPr lang="en-gb" sz="1200" b="0">
              <a:solidFill>
                <a:schemeClr val="tx1"/>
              </a:solidFill>
              <a:latin typeface="Arial" panose="020B0604020202020204" pitchFamily="34" charset="0"/>
              <a:cs typeface="Arial" panose="020B0604020202020204" pitchFamily="34" charset="0"/>
            </a:rPr>
            <a:t>Your financial calculation is done correctly when your need for funds is equal to your sources of funds. If the resulting difference is negative, you need to increase your sources of funds to match your need for funds.</a:t>
          </a:r>
        </a:p>
      </xdr:txBody>
    </xdr:sp>
    <xdr:clientData/>
  </xdr:twoCellAnchor>
  <xdr:twoCellAnchor editAs="oneCell">
    <xdr:from>
      <xdr:col>0</xdr:col>
      <xdr:colOff>177800</xdr:colOff>
      <xdr:row>0</xdr:row>
      <xdr:rowOff>152400</xdr:rowOff>
    </xdr:from>
    <xdr:to>
      <xdr:col>0</xdr:col>
      <xdr:colOff>2247900</xdr:colOff>
      <xdr:row>0</xdr:row>
      <xdr:rowOff>520700</xdr:rowOff>
    </xdr:to>
    <xdr:pic>
      <xdr:nvPicPr>
        <xdr:cNvPr id="3" name="Picture 2">
          <a:extLst>
            <a:ext uri="{FF2B5EF4-FFF2-40B4-BE49-F238E27FC236}">
              <a16:creationId xmlns:a16="http://schemas.microsoft.com/office/drawing/2014/main" id="{2CA95A8D-67F7-4FBF-BE1C-9370FC21122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98424</xdr:colOff>
      <xdr:row>38</xdr:row>
      <xdr:rowOff>69851</xdr:rowOff>
    </xdr:from>
    <xdr:to>
      <xdr:col>6</xdr:col>
      <xdr:colOff>635000</xdr:colOff>
      <xdr:row>40</xdr:row>
      <xdr:rowOff>238125</xdr:rowOff>
    </xdr:to>
    <xdr:sp macro="" textlink="">
      <xdr:nvSpPr>
        <xdr:cNvPr id="4" name="Rectangle 3">
          <a:extLst>
            <a:ext uri="{FF2B5EF4-FFF2-40B4-BE49-F238E27FC236}">
              <a16:creationId xmlns:a16="http://schemas.microsoft.com/office/drawing/2014/main" id="{FFC2147B-869E-D84D-8BA1-D66361A1619E}"/>
            </a:ext>
            <a:ext uri="{C183D7F6-B498-43B3-948B-1728B52AA6E4}">
              <adec:decorative xmlns:adec="http://schemas.microsoft.com/office/drawing/2017/decorative" val="1"/>
            </a:ext>
          </a:extLst>
        </xdr:cNvPr>
        <xdr:cNvSpPr/>
      </xdr:nvSpPr>
      <xdr:spPr>
        <a:xfrm>
          <a:off x="11185524" y="13214351"/>
          <a:ext cx="3228976" cy="676274"/>
        </a:xfrm>
        <a:prstGeom prst="rect">
          <a:avLst/>
        </a:prstGeom>
        <a:solidFill>
          <a:srgbClr val="F1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a:r>
            <a:rPr lang="en-gb" sz="1200" b="0">
              <a:solidFill>
                <a:sysClr val="windowText" lastClr="000000"/>
              </a:solidFill>
              <a:effectLst/>
              <a:latin typeface="Arial" panose="020B0604020202020204" pitchFamily="34" charset="0"/>
              <a:cs typeface="Arial" panose="020B0604020202020204" pitchFamily="34" charset="0"/>
            </a:rPr>
            <a:t>The required monthly margin is automatically transferred to the ‘Sales summary’ table in the monthly sales calculation.</a:t>
          </a:r>
          <a:endParaRPr lang="en-FI" sz="1200" b="0">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5</xdr:col>
      <xdr:colOff>0</xdr:colOff>
      <xdr:row>2</xdr:row>
      <xdr:rowOff>812800</xdr:rowOff>
    </xdr:from>
    <xdr:to>
      <xdr:col>11</xdr:col>
      <xdr:colOff>812800</xdr:colOff>
      <xdr:row>4</xdr:row>
      <xdr:rowOff>50800</xdr:rowOff>
    </xdr:to>
    <xdr:sp macro="" textlink="">
      <xdr:nvSpPr>
        <xdr:cNvPr id="7" name="Round Single Corner of Rectangle 6">
          <a:extLst>
            <a:ext uri="{FF2B5EF4-FFF2-40B4-BE49-F238E27FC236}">
              <a16:creationId xmlns:a16="http://schemas.microsoft.com/office/drawing/2014/main" id="{C6EE1072-630F-B84B-9031-C12546F4C3E5}"/>
            </a:ext>
            <a:ext uri="{C183D7F6-B498-43B3-948B-1728B52AA6E4}">
              <adec:decorative xmlns:adec="http://schemas.microsoft.com/office/drawing/2017/decorative" val="1"/>
            </a:ext>
          </a:extLst>
        </xdr:cNvPr>
        <xdr:cNvSpPr/>
      </xdr:nvSpPr>
      <xdr:spPr>
        <a:xfrm>
          <a:off x="11112500" y="1422400"/>
          <a:ext cx="5765800" cy="12700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en-gb" sz="1200" b="1">
              <a:solidFill>
                <a:schemeClr val="tx1"/>
              </a:solidFill>
              <a:latin typeface="Arial" panose="020B0604020202020204" pitchFamily="34" charset="0"/>
              <a:cs typeface="Arial" panose="020B0604020202020204" pitchFamily="34" charset="0"/>
            </a:rPr>
            <a:t>The net income of a sole proprietor or the profits of a limited company:</a:t>
          </a:r>
          <a:r>
            <a:rPr lang="en-gb" sz="1200" b="0">
              <a:solidFill>
                <a:schemeClr val="tx1"/>
              </a:solidFill>
              <a:latin typeface="Arial" panose="020B0604020202020204" pitchFamily="34" charset="0"/>
              <a:cs typeface="Arial" panose="020B0604020202020204" pitchFamily="34" charset="0"/>
            </a:rPr>
            <a:t> ‘Target earnings’ refers to the net income required for an entrepreneur to operate their business. You can calculate it by estimating how much money you will need per month for personal expenses (housing, food, clothes, etc.). You can also estimate your target earnings based on the net salary you receive from your job. In the case of a limited company, the salary is entered as a gross amount on line 17.</a:t>
          </a:r>
        </a:p>
      </xdr:txBody>
    </xdr:sp>
    <xdr:clientData/>
  </xdr:twoCellAnchor>
  <xdr:twoCellAnchor>
    <xdr:from>
      <xdr:col>5</xdr:col>
      <xdr:colOff>0</xdr:colOff>
      <xdr:row>4</xdr:row>
      <xdr:rowOff>139700</xdr:rowOff>
    </xdr:from>
    <xdr:to>
      <xdr:col>11</xdr:col>
      <xdr:colOff>812800</xdr:colOff>
      <xdr:row>8</xdr:row>
      <xdr:rowOff>76200</xdr:rowOff>
    </xdr:to>
    <xdr:sp macro="" textlink="">
      <xdr:nvSpPr>
        <xdr:cNvPr id="8" name="Round Single Corner of Rectangle 7">
          <a:extLst>
            <a:ext uri="{FF2B5EF4-FFF2-40B4-BE49-F238E27FC236}">
              <a16:creationId xmlns:a16="http://schemas.microsoft.com/office/drawing/2014/main" id="{C7459009-1D4D-2B44-A7CB-844BA4431FD6}"/>
            </a:ext>
            <a:ext uri="{C183D7F6-B498-43B3-948B-1728B52AA6E4}">
              <adec:decorative xmlns:adec="http://schemas.microsoft.com/office/drawing/2017/decorative" val="1"/>
            </a:ext>
          </a:extLst>
        </xdr:cNvPr>
        <xdr:cNvSpPr/>
      </xdr:nvSpPr>
      <xdr:spPr>
        <a:xfrm>
          <a:off x="11112500" y="2781300"/>
          <a:ext cx="5765800" cy="10795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n-gb" sz="1200" b="1">
              <a:solidFill>
                <a:schemeClr val="tx1"/>
              </a:solidFill>
              <a:latin typeface="Arial" panose="020B0604020202020204" pitchFamily="34" charset="0"/>
              <a:cs typeface="Arial" panose="020B0604020202020204" pitchFamily="34" charset="0"/>
            </a:rPr>
            <a:t>Net income: </a:t>
          </a:r>
          <a:r>
            <a:rPr lang="en-gb" sz="1200" b="0">
              <a:solidFill>
                <a:schemeClr val="tx1"/>
              </a:solidFill>
              <a:latin typeface="Arial" panose="020B0604020202020204" pitchFamily="34" charset="0"/>
              <a:cs typeface="Arial" panose="020B0604020202020204" pitchFamily="34" charset="0"/>
            </a:rPr>
            <a:t>Business loan repayments are added to the target earnings to calculate net income. When you add taxes to net income, you arrive at your financing needs. When the interest on business loans is added to your financing needs, you get the amount that your business needs to earn for you to live on and service your business loans.</a:t>
          </a:r>
        </a:p>
      </xdr:txBody>
    </xdr:sp>
    <xdr:clientData/>
  </xdr:twoCellAnchor>
  <xdr:twoCellAnchor>
    <xdr:from>
      <xdr:col>5</xdr:col>
      <xdr:colOff>0</xdr:colOff>
      <xdr:row>8</xdr:row>
      <xdr:rowOff>165100</xdr:rowOff>
    </xdr:from>
    <xdr:to>
      <xdr:col>11</xdr:col>
      <xdr:colOff>812800</xdr:colOff>
      <xdr:row>13</xdr:row>
      <xdr:rowOff>127000</xdr:rowOff>
    </xdr:to>
    <xdr:sp macro="" textlink="">
      <xdr:nvSpPr>
        <xdr:cNvPr id="9" name="Round Single Corner of Rectangle 8">
          <a:extLst>
            <a:ext uri="{FF2B5EF4-FFF2-40B4-BE49-F238E27FC236}">
              <a16:creationId xmlns:a16="http://schemas.microsoft.com/office/drawing/2014/main" id="{596D82E4-10C7-1045-A32E-FA81B40073D1}"/>
            </a:ext>
            <a:ext uri="{C183D7F6-B498-43B3-948B-1728B52AA6E4}">
              <adec:decorative xmlns:adec="http://schemas.microsoft.com/office/drawing/2017/decorative" val="1"/>
            </a:ext>
          </a:extLst>
        </xdr:cNvPr>
        <xdr:cNvSpPr/>
      </xdr:nvSpPr>
      <xdr:spPr>
        <a:xfrm>
          <a:off x="11112500" y="3949700"/>
          <a:ext cx="5765800" cy="14224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en-gb" sz="1200" b="1">
              <a:solidFill>
                <a:schemeClr val="tx1"/>
              </a:solidFill>
              <a:latin typeface="Arial" panose="020B0604020202020204" pitchFamily="34" charset="0"/>
              <a:cs typeface="Arial" panose="020B0604020202020204" pitchFamily="34" charset="0"/>
            </a:rPr>
            <a:t>Taxes on income: </a:t>
          </a:r>
          <a:r>
            <a:rPr lang="en-gb" sz="1200" b="0">
              <a:solidFill>
                <a:schemeClr val="tx1"/>
              </a:solidFill>
              <a:latin typeface="Arial" panose="020B0604020202020204" pitchFamily="34" charset="0"/>
              <a:cs typeface="Arial" panose="020B0604020202020204" pitchFamily="34" charset="0"/>
            </a:rPr>
            <a:t>For example, a sole proprietor who earns €1800 net per month as an entrepreneur pays taxes of around €90 per month. Calculated with no other income, membership in a church (Evangelical Lutheran), and YEL paid according to the minimum earned income threshold. Learn more about your tax rate</a:t>
          </a:r>
          <a:r>
            <a:rPr lang="en-gb" sz="1200" b="0" baseline="0">
              <a:solidFill>
                <a:schemeClr val="tx1"/>
              </a:solidFill>
              <a:latin typeface="Arial" panose="020B0604020202020204" pitchFamily="34" charset="0"/>
              <a:cs typeface="Arial" panose="020B0604020202020204" pitchFamily="34" charset="0"/>
            </a:rPr>
            <a:t> with the tax rate calculator on the Tax Administration’s website. </a:t>
          </a:r>
          <a:r>
            <a:rPr lang="en-gb" sz="1200" b="0">
              <a:solidFill>
                <a:schemeClr val="tx1"/>
              </a:solidFill>
              <a:latin typeface="Arial" panose="020B0604020202020204" pitchFamily="34" charset="0"/>
              <a:cs typeface="Arial" panose="020B0604020202020204" pitchFamily="34" charset="0"/>
            </a:rPr>
            <a:t>The corporation tax rate for a limited company is always 20%, and in addition to this, entrepreneurs pay taxes on their earned income, i.e. their salary.</a:t>
          </a:r>
        </a:p>
      </xdr:txBody>
    </xdr:sp>
    <xdr:clientData/>
  </xdr:twoCellAnchor>
  <xdr:twoCellAnchor>
    <xdr:from>
      <xdr:col>5</xdr:col>
      <xdr:colOff>0</xdr:colOff>
      <xdr:row>13</xdr:row>
      <xdr:rowOff>203200</xdr:rowOff>
    </xdr:from>
    <xdr:to>
      <xdr:col>11</xdr:col>
      <xdr:colOff>812800</xdr:colOff>
      <xdr:row>17</xdr:row>
      <xdr:rowOff>241300</xdr:rowOff>
    </xdr:to>
    <xdr:sp macro="" textlink="">
      <xdr:nvSpPr>
        <xdr:cNvPr id="10" name="Round Single Corner of Rectangle 9">
          <a:extLst>
            <a:ext uri="{FF2B5EF4-FFF2-40B4-BE49-F238E27FC236}">
              <a16:creationId xmlns:a16="http://schemas.microsoft.com/office/drawing/2014/main" id="{57EF678E-0E58-A945-BB65-AF76F5244B4C}"/>
            </a:ext>
            <a:ext uri="{C183D7F6-B498-43B3-948B-1728B52AA6E4}">
              <adec:decorative xmlns:adec="http://schemas.microsoft.com/office/drawing/2017/decorative" val="1"/>
            </a:ext>
          </a:extLst>
        </xdr:cNvPr>
        <xdr:cNvSpPr/>
      </xdr:nvSpPr>
      <xdr:spPr>
        <a:xfrm>
          <a:off x="11112500" y="5448300"/>
          <a:ext cx="5765800" cy="10541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n-gb" sz="1200" b="1">
              <a:solidFill>
                <a:schemeClr val="tx1"/>
              </a:solidFill>
              <a:latin typeface="Arial" panose="020B0604020202020204" pitchFamily="34" charset="0"/>
              <a:cs typeface="Arial" panose="020B0604020202020204" pitchFamily="34" charset="0"/>
            </a:rPr>
            <a:t>Fixed costs: </a:t>
          </a:r>
          <a:r>
            <a:rPr lang="en-gb" sz="1200" b="0">
              <a:solidFill>
                <a:schemeClr val="tx1"/>
              </a:solidFill>
              <a:latin typeface="Arial" panose="020B0604020202020204" pitchFamily="34" charset="0"/>
              <a:cs typeface="Arial" panose="020B0604020202020204" pitchFamily="34" charset="0"/>
            </a:rPr>
            <a:t>Fixed costs are expenses that do not depend on a company’s amount of billing but remain relatively constant from month to month. Fixed costs include the salaries of other employees, insurance policies, rent, office expenses, electricity/water, etc.</a:t>
          </a:r>
        </a:p>
      </xdr:txBody>
    </xdr:sp>
    <xdr:clientData/>
  </xdr:twoCellAnchor>
  <xdr:twoCellAnchor>
    <xdr:from>
      <xdr:col>5</xdr:col>
      <xdr:colOff>0</xdr:colOff>
      <xdr:row>18</xdr:row>
      <xdr:rowOff>50800</xdr:rowOff>
    </xdr:from>
    <xdr:to>
      <xdr:col>11</xdr:col>
      <xdr:colOff>812800</xdr:colOff>
      <xdr:row>23</xdr:row>
      <xdr:rowOff>203200</xdr:rowOff>
    </xdr:to>
    <xdr:sp macro="" textlink="">
      <xdr:nvSpPr>
        <xdr:cNvPr id="11" name="Round Single Corner of Rectangle 10">
          <a:extLst>
            <a:ext uri="{FF2B5EF4-FFF2-40B4-BE49-F238E27FC236}">
              <a16:creationId xmlns:a16="http://schemas.microsoft.com/office/drawing/2014/main" id="{C62E9EE0-50B3-4947-BAEC-356B32BA359E}"/>
            </a:ext>
            <a:ext uri="{C183D7F6-B498-43B3-948B-1728B52AA6E4}">
              <adec:decorative xmlns:adec="http://schemas.microsoft.com/office/drawing/2017/decorative" val="1"/>
            </a:ext>
          </a:extLst>
        </xdr:cNvPr>
        <xdr:cNvSpPr/>
      </xdr:nvSpPr>
      <xdr:spPr>
        <a:xfrm>
          <a:off x="11112500" y="6565900"/>
          <a:ext cx="5765800" cy="14224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en-gb" sz="1200" b="1">
              <a:solidFill>
                <a:schemeClr val="tx1"/>
              </a:solidFill>
              <a:latin typeface="Arial" panose="020B0604020202020204" pitchFamily="34" charset="0"/>
              <a:cs typeface="Arial" panose="020B0604020202020204" pitchFamily="34" charset="0"/>
            </a:rPr>
            <a:t>Pension insurance for self-employed persons: </a:t>
          </a:r>
          <a:r>
            <a:rPr lang="en-gb" sz="1200" b="0">
              <a:solidFill>
                <a:schemeClr val="tx1"/>
              </a:solidFill>
              <a:latin typeface="Arial" panose="020B0604020202020204" pitchFamily="34" charset="0"/>
              <a:cs typeface="Arial" panose="020B0604020202020204" pitchFamily="34" charset="0"/>
            </a:rPr>
            <a:t>The self-employed person’s pension insurance contribution (YEL) is mandatory and is assessed based on the person’s confirmed income from self-employment. New entrepreneurs receive a 22% discount for the first 48 months. For example, based on an annual income of €15</a:t>
          </a:r>
          <a:r>
            <a:rPr lang="en-gb" sz="1200" b="0" baseline="0">
              <a:solidFill>
                <a:schemeClr val="tx1"/>
              </a:solidFill>
              <a:latin typeface="Arial" panose="020B0604020202020204" pitchFamily="34" charset="0"/>
              <a:cs typeface="Arial" panose="020B0604020202020204" pitchFamily="34" charset="0"/>
            </a:rPr>
            <a:t> 481</a:t>
          </a:r>
          <a:r>
            <a:rPr lang="en-gb" sz="1200" b="0">
              <a:solidFill>
                <a:schemeClr val="tx1"/>
              </a:solidFill>
              <a:latin typeface="Arial" panose="020B0604020202020204" pitchFamily="34" charset="0"/>
              <a:cs typeface="Arial" panose="020B0604020202020204" pitchFamily="34" charset="0"/>
            </a:rPr>
            <a:t>, the reduced monthly YEL contribution for a person under 53 is €246/month. Employee pension insurance (TyEL) is compulsory when a company hires an employee.</a:t>
          </a:r>
        </a:p>
      </xdr:txBody>
    </xdr:sp>
    <xdr:clientData/>
  </xdr:twoCellAnchor>
  <xdr:twoCellAnchor>
    <xdr:from>
      <xdr:col>5</xdr:col>
      <xdr:colOff>0</xdr:colOff>
      <xdr:row>27</xdr:row>
      <xdr:rowOff>88900</xdr:rowOff>
    </xdr:from>
    <xdr:to>
      <xdr:col>11</xdr:col>
      <xdr:colOff>812800</xdr:colOff>
      <xdr:row>30</xdr:row>
      <xdr:rowOff>63500</xdr:rowOff>
    </xdr:to>
    <xdr:sp macro="" textlink="">
      <xdr:nvSpPr>
        <xdr:cNvPr id="12" name="Round Single Corner of Rectangle 11">
          <a:extLst>
            <a:ext uri="{FF2B5EF4-FFF2-40B4-BE49-F238E27FC236}">
              <a16:creationId xmlns:a16="http://schemas.microsoft.com/office/drawing/2014/main" id="{A28F20F1-775A-9F4A-A7E9-F3F8566A0BD7}"/>
            </a:ext>
            <a:ext uri="{C183D7F6-B498-43B3-948B-1728B52AA6E4}">
              <adec:decorative xmlns:adec="http://schemas.microsoft.com/office/drawing/2017/decorative" val="1"/>
            </a:ext>
          </a:extLst>
        </xdr:cNvPr>
        <xdr:cNvSpPr/>
      </xdr:nvSpPr>
      <xdr:spPr>
        <a:xfrm>
          <a:off x="12954000" y="9613900"/>
          <a:ext cx="5765800" cy="7366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n-gb" sz="1200" b="1">
              <a:solidFill>
                <a:schemeClr val="tx1"/>
              </a:solidFill>
              <a:latin typeface="Arial" panose="020B0604020202020204" pitchFamily="34" charset="0"/>
              <a:cs typeface="Arial" panose="020B0604020202020204" pitchFamily="34" charset="0"/>
            </a:rPr>
            <a:t>Required sales margin: </a:t>
          </a:r>
          <a:r>
            <a:rPr lang="en-gb" sz="1200" b="0">
              <a:solidFill>
                <a:schemeClr val="tx1"/>
              </a:solidFill>
              <a:latin typeface="Arial" panose="020B0604020202020204" pitchFamily="34" charset="0"/>
              <a:cs typeface="Arial" panose="020B0604020202020204" pitchFamily="34" charset="0"/>
            </a:rPr>
            <a:t>When you add together the financing needs of the business, interest on business loans, and fixed costs, the result is the required sales margin.</a:t>
          </a:r>
        </a:p>
      </xdr:txBody>
    </xdr:sp>
    <xdr:clientData/>
  </xdr:twoCellAnchor>
  <xdr:twoCellAnchor>
    <xdr:from>
      <xdr:col>5</xdr:col>
      <xdr:colOff>0</xdr:colOff>
      <xdr:row>30</xdr:row>
      <xdr:rowOff>139700</xdr:rowOff>
    </xdr:from>
    <xdr:to>
      <xdr:col>11</xdr:col>
      <xdr:colOff>812800</xdr:colOff>
      <xdr:row>32</xdr:row>
      <xdr:rowOff>241300</xdr:rowOff>
    </xdr:to>
    <xdr:sp macro="" textlink="">
      <xdr:nvSpPr>
        <xdr:cNvPr id="15" name="Round Single Corner of Rectangle 14">
          <a:extLst>
            <a:ext uri="{FF2B5EF4-FFF2-40B4-BE49-F238E27FC236}">
              <a16:creationId xmlns:a16="http://schemas.microsoft.com/office/drawing/2014/main" id="{A2AA5BE4-565F-854F-B447-AAEEFE22B937}"/>
            </a:ext>
            <a:ext uri="{C183D7F6-B498-43B3-948B-1728B52AA6E4}">
              <adec:decorative xmlns:adec="http://schemas.microsoft.com/office/drawing/2017/decorative" val="1"/>
            </a:ext>
          </a:extLst>
        </xdr:cNvPr>
        <xdr:cNvSpPr/>
      </xdr:nvSpPr>
      <xdr:spPr>
        <a:xfrm>
          <a:off x="11112500" y="8788400"/>
          <a:ext cx="5765800" cy="6096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n-gb" sz="1200" b="1">
              <a:solidFill>
                <a:schemeClr val="tx1"/>
              </a:solidFill>
              <a:latin typeface="Arial" panose="020B0604020202020204" pitchFamily="34" charset="0"/>
              <a:cs typeface="Arial" panose="020B0604020202020204" pitchFamily="34" charset="0"/>
            </a:rPr>
            <a:t>Value added tax: </a:t>
          </a:r>
          <a:r>
            <a:rPr lang="en-gb" sz="1200" b="0">
              <a:solidFill>
                <a:schemeClr val="tx1"/>
              </a:solidFill>
              <a:latin typeface="Arial" panose="020B0604020202020204" pitchFamily="34" charset="0"/>
              <a:cs typeface="Arial" panose="020B0604020202020204" pitchFamily="34" charset="0"/>
            </a:rPr>
            <a:t>Value added tax depends to some degree on the goods or services sold.</a:t>
          </a:r>
        </a:p>
      </xdr:txBody>
    </xdr:sp>
    <xdr:clientData/>
  </xdr:twoCellAnchor>
  <xdr:twoCellAnchor>
    <xdr:from>
      <xdr:col>5</xdr:col>
      <xdr:colOff>0</xdr:colOff>
      <xdr:row>32</xdr:row>
      <xdr:rowOff>317500</xdr:rowOff>
    </xdr:from>
    <xdr:to>
      <xdr:col>11</xdr:col>
      <xdr:colOff>812800</xdr:colOff>
      <xdr:row>35</xdr:row>
      <xdr:rowOff>0</xdr:rowOff>
    </xdr:to>
    <xdr:sp macro="" textlink="">
      <xdr:nvSpPr>
        <xdr:cNvPr id="16" name="Round Single Corner of Rectangle 15">
          <a:extLst>
            <a:ext uri="{FF2B5EF4-FFF2-40B4-BE49-F238E27FC236}">
              <a16:creationId xmlns:a16="http://schemas.microsoft.com/office/drawing/2014/main" id="{12CC535B-80D8-AF4C-8376-F02677297A5A}"/>
            </a:ext>
            <a:ext uri="{C183D7F6-B498-43B3-948B-1728B52AA6E4}">
              <adec:decorative xmlns:adec="http://schemas.microsoft.com/office/drawing/2017/decorative" val="1"/>
            </a:ext>
          </a:extLst>
        </xdr:cNvPr>
        <xdr:cNvSpPr/>
      </xdr:nvSpPr>
      <xdr:spPr>
        <a:xfrm>
          <a:off x="11112500" y="9474200"/>
          <a:ext cx="5765800" cy="5588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n-gb" sz="1200" b="1">
              <a:solidFill>
                <a:schemeClr val="tx1"/>
              </a:solidFill>
              <a:latin typeface="Arial" panose="020B0604020202020204" pitchFamily="34" charset="0"/>
              <a:cs typeface="Arial" panose="020B0604020202020204" pitchFamily="34" charset="0"/>
            </a:rPr>
            <a:t>Total sales/invoicing: </a:t>
          </a:r>
          <a:r>
            <a:rPr lang="en-gb" sz="1200" b="0">
              <a:solidFill>
                <a:schemeClr val="tx1"/>
              </a:solidFill>
              <a:latin typeface="Arial" panose="020B0604020202020204" pitchFamily="34" charset="0"/>
              <a:cs typeface="Arial" panose="020B0604020202020204" pitchFamily="34" charset="0"/>
            </a:rPr>
            <a:t>Total sales/invoicing is the sum of turnover and value added tax.</a:t>
          </a:r>
        </a:p>
      </xdr:txBody>
    </xdr:sp>
    <xdr:clientData/>
  </xdr:twoCellAnchor>
  <xdr:twoCellAnchor>
    <xdr:from>
      <xdr:col>5</xdr:col>
      <xdr:colOff>0</xdr:colOff>
      <xdr:row>35</xdr:row>
      <xdr:rowOff>76200</xdr:rowOff>
    </xdr:from>
    <xdr:to>
      <xdr:col>11</xdr:col>
      <xdr:colOff>812800</xdr:colOff>
      <xdr:row>37</xdr:row>
      <xdr:rowOff>495300</xdr:rowOff>
    </xdr:to>
    <xdr:sp macro="" textlink="">
      <xdr:nvSpPr>
        <xdr:cNvPr id="17" name="Round Single Corner of Rectangle 16">
          <a:extLst>
            <a:ext uri="{FF2B5EF4-FFF2-40B4-BE49-F238E27FC236}">
              <a16:creationId xmlns:a16="http://schemas.microsoft.com/office/drawing/2014/main" id="{8DD2E0DC-9DBE-274C-B5B4-1EE60681B6B7}"/>
            </a:ext>
            <a:ext uri="{C183D7F6-B498-43B3-948B-1728B52AA6E4}">
              <adec:decorative xmlns:adec="http://schemas.microsoft.com/office/drawing/2017/decorative" val="1"/>
            </a:ext>
          </a:extLst>
        </xdr:cNvPr>
        <xdr:cNvSpPr/>
      </xdr:nvSpPr>
      <xdr:spPr>
        <a:xfrm>
          <a:off x="11112500" y="11163300"/>
          <a:ext cx="5765800" cy="10541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n-gb" sz="1200" b="1">
              <a:solidFill>
                <a:schemeClr val="tx1"/>
              </a:solidFill>
              <a:latin typeface="Arial" panose="020B0604020202020204" pitchFamily="34" charset="0"/>
              <a:cs typeface="Arial" panose="020B0604020202020204" pitchFamily="34" charset="0"/>
            </a:rPr>
            <a:t>Required sales margin (minimum): </a:t>
          </a:r>
          <a:r>
            <a:rPr lang="en-gb" sz="1200" b="0">
              <a:solidFill>
                <a:schemeClr val="tx1"/>
              </a:solidFill>
              <a:latin typeface="Arial" panose="020B0604020202020204" pitchFamily="34" charset="0"/>
              <a:cs typeface="Arial" panose="020B0604020202020204" pitchFamily="34" charset="0"/>
            </a:rPr>
            <a:t>This will help you calculate the monthly, daily and hourly billing requirements for your business. Please note that your business may not always be able to bill for full months, days or hours. Estimate how many days or hours your business can bill customers each month.</a:t>
          </a:r>
        </a:p>
      </xdr:txBody>
    </xdr:sp>
    <xdr:clientData/>
  </xdr:twoCellAnchor>
  <xdr:twoCellAnchor>
    <xdr:from>
      <xdr:col>5</xdr:col>
      <xdr:colOff>330200</xdr:colOff>
      <xdr:row>41</xdr:row>
      <xdr:rowOff>292100</xdr:rowOff>
    </xdr:from>
    <xdr:to>
      <xdr:col>12</xdr:col>
      <xdr:colOff>317500</xdr:colOff>
      <xdr:row>43</xdr:row>
      <xdr:rowOff>114300</xdr:rowOff>
    </xdr:to>
    <xdr:sp macro="" textlink="">
      <xdr:nvSpPr>
        <xdr:cNvPr id="18" name="Round Single Corner of Rectangle 17">
          <a:extLst>
            <a:ext uri="{FF2B5EF4-FFF2-40B4-BE49-F238E27FC236}">
              <a16:creationId xmlns:a16="http://schemas.microsoft.com/office/drawing/2014/main" id="{DA65F5B2-543D-D54F-9F5F-310FF02D736C}"/>
            </a:ext>
            <a:ext uri="{C183D7F6-B498-43B3-948B-1728B52AA6E4}">
              <adec:decorative xmlns:adec="http://schemas.microsoft.com/office/drawing/2017/decorative" val="1"/>
            </a:ext>
          </a:extLst>
        </xdr:cNvPr>
        <xdr:cNvSpPr/>
      </xdr:nvSpPr>
      <xdr:spPr>
        <a:xfrm>
          <a:off x="11468100" y="13373100"/>
          <a:ext cx="5765800" cy="5842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n-gb" sz="1200" b="1">
              <a:solidFill>
                <a:schemeClr val="tx1"/>
              </a:solidFill>
              <a:latin typeface="Arial" panose="020B0604020202020204" pitchFamily="34" charset="0"/>
              <a:cs typeface="Arial" panose="020B0604020202020204" pitchFamily="34" charset="0"/>
            </a:rPr>
            <a:t>Three-year growth percentage: </a:t>
          </a:r>
          <a:r>
            <a:rPr lang="en-gb" sz="1200" b="0">
              <a:solidFill>
                <a:schemeClr val="tx1"/>
              </a:solidFill>
              <a:latin typeface="Arial" panose="020B0604020202020204" pitchFamily="34" charset="0"/>
              <a:cs typeface="Arial" panose="020B0604020202020204" pitchFamily="34" charset="0"/>
            </a:rPr>
            <a:t>You can change the growth rates for income and expenses.</a:t>
          </a:r>
        </a:p>
      </xdr:txBody>
    </xdr:sp>
    <xdr:clientData/>
  </xdr:twoCellAnchor>
  <xdr:twoCellAnchor editAs="oneCell">
    <xdr:from>
      <xdr:col>0</xdr:col>
      <xdr:colOff>177800</xdr:colOff>
      <xdr:row>0</xdr:row>
      <xdr:rowOff>152400</xdr:rowOff>
    </xdr:from>
    <xdr:to>
      <xdr:col>0</xdr:col>
      <xdr:colOff>2247900</xdr:colOff>
      <xdr:row>0</xdr:row>
      <xdr:rowOff>520700</xdr:rowOff>
    </xdr:to>
    <xdr:pic>
      <xdr:nvPicPr>
        <xdr:cNvPr id="5" name="Picture 4">
          <a:extLst>
            <a:ext uri="{FF2B5EF4-FFF2-40B4-BE49-F238E27FC236}">
              <a16:creationId xmlns:a16="http://schemas.microsoft.com/office/drawing/2014/main" id="{D9D2B25B-6FD3-9046-B284-44AA7C35BC6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177800</xdr:colOff>
      <xdr:row>20</xdr:row>
      <xdr:rowOff>25400</xdr:rowOff>
    </xdr:from>
    <xdr:to>
      <xdr:col>5</xdr:col>
      <xdr:colOff>927100</xdr:colOff>
      <xdr:row>22</xdr:row>
      <xdr:rowOff>279400</xdr:rowOff>
    </xdr:to>
    <xdr:sp macro="" textlink="">
      <xdr:nvSpPr>
        <xdr:cNvPr id="2" name="Rectangle 1">
          <a:extLst>
            <a:ext uri="{FF2B5EF4-FFF2-40B4-BE49-F238E27FC236}">
              <a16:creationId xmlns:a16="http://schemas.microsoft.com/office/drawing/2014/main" id="{AE66EA0E-3E6C-7044-AD0B-BCF74A95387A}"/>
            </a:ext>
            <a:ext uri="{C183D7F6-B498-43B3-948B-1728B52AA6E4}">
              <adec:decorative xmlns:adec="http://schemas.microsoft.com/office/drawing/2017/decorative" val="1"/>
            </a:ext>
          </a:extLst>
        </xdr:cNvPr>
        <xdr:cNvSpPr/>
      </xdr:nvSpPr>
      <xdr:spPr>
        <a:xfrm>
          <a:off x="6311900" y="7366000"/>
          <a:ext cx="3162300" cy="762000"/>
        </a:xfrm>
        <a:prstGeom prst="rect">
          <a:avLst/>
        </a:prstGeom>
        <a:solidFill>
          <a:srgbClr val="F1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n-gb" sz="1200">
              <a:solidFill>
                <a:sysClr val="windowText" lastClr="000000"/>
              </a:solidFill>
              <a:latin typeface="Arial" panose="020B0604020202020204" pitchFamily="34" charset="0"/>
              <a:cs typeface="Arial" panose="020B0604020202020204" pitchFamily="34" charset="0"/>
            </a:rPr>
            <a:t>The required sales margin per month in the profitability calculation</a:t>
          </a:r>
          <a:r>
            <a:rPr lang="en-gb" sz="1200" baseline="0">
              <a:solidFill>
                <a:sysClr val="windowText" lastClr="000000"/>
              </a:solidFill>
              <a:latin typeface="Arial" panose="020B0604020202020204" pitchFamily="34" charset="0"/>
              <a:cs typeface="Arial" panose="020B0604020202020204" pitchFamily="34" charset="0"/>
            </a:rPr>
            <a:t> has been automatically transferred from the</a:t>
          </a:r>
          <a:r>
            <a:rPr lang="en-gb" sz="1200">
              <a:solidFill>
                <a:sysClr val="windowText" lastClr="000000"/>
              </a:solidFill>
              <a:latin typeface="Arial" panose="020B0604020202020204" pitchFamily="34" charset="0"/>
              <a:cs typeface="Arial" panose="020B0604020202020204" pitchFamily="34" charset="0"/>
            </a:rPr>
            <a:t> "Profitability calculation" tab.</a:t>
          </a:r>
        </a:p>
      </xdr:txBody>
    </xdr:sp>
    <xdr:clientData/>
  </xdr:twoCellAnchor>
  <xdr:twoCellAnchor editAs="oneCell">
    <xdr:from>
      <xdr:col>0</xdr:col>
      <xdr:colOff>177800</xdr:colOff>
      <xdr:row>0</xdr:row>
      <xdr:rowOff>152400</xdr:rowOff>
    </xdr:from>
    <xdr:to>
      <xdr:col>0</xdr:col>
      <xdr:colOff>2247900</xdr:colOff>
      <xdr:row>0</xdr:row>
      <xdr:rowOff>520700</xdr:rowOff>
    </xdr:to>
    <xdr:pic>
      <xdr:nvPicPr>
        <xdr:cNvPr id="3" name="Picture 2">
          <a:extLst>
            <a:ext uri="{FF2B5EF4-FFF2-40B4-BE49-F238E27FC236}">
              <a16:creationId xmlns:a16="http://schemas.microsoft.com/office/drawing/2014/main" id="{52C1FBBF-4303-5347-A273-6E7438ACD103}"/>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177800</xdr:colOff>
      <xdr:row>0</xdr:row>
      <xdr:rowOff>152400</xdr:rowOff>
    </xdr:from>
    <xdr:to>
      <xdr:col>0</xdr:col>
      <xdr:colOff>2247900</xdr:colOff>
      <xdr:row>0</xdr:row>
      <xdr:rowOff>520700</xdr:rowOff>
    </xdr:to>
    <xdr:pic>
      <xdr:nvPicPr>
        <xdr:cNvPr id="2" name="Picture 1">
          <a:extLst>
            <a:ext uri="{FF2B5EF4-FFF2-40B4-BE49-F238E27FC236}">
              <a16:creationId xmlns:a16="http://schemas.microsoft.com/office/drawing/2014/main" id="{0B9C1C58-10F6-7047-9274-EF90A6D90DA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177800</xdr:colOff>
      <xdr:row>0</xdr:row>
      <xdr:rowOff>152400</xdr:rowOff>
    </xdr:from>
    <xdr:to>
      <xdr:col>0</xdr:col>
      <xdr:colOff>2247900</xdr:colOff>
      <xdr:row>0</xdr:row>
      <xdr:rowOff>520700</xdr:rowOff>
    </xdr:to>
    <xdr:pic>
      <xdr:nvPicPr>
        <xdr:cNvPr id="2" name="Picture 1">
          <a:extLst>
            <a:ext uri="{FF2B5EF4-FFF2-40B4-BE49-F238E27FC236}">
              <a16:creationId xmlns:a16="http://schemas.microsoft.com/office/drawing/2014/main" id="{D1D2AA7B-9669-0241-9936-AE1A04F3C19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177800</xdr:colOff>
      <xdr:row>0</xdr:row>
      <xdr:rowOff>152400</xdr:rowOff>
    </xdr:from>
    <xdr:to>
      <xdr:col>0</xdr:col>
      <xdr:colOff>2247900</xdr:colOff>
      <xdr:row>0</xdr:row>
      <xdr:rowOff>520700</xdr:rowOff>
    </xdr:to>
    <xdr:pic>
      <xdr:nvPicPr>
        <xdr:cNvPr id="3" name="Picture 2">
          <a:extLst>
            <a:ext uri="{FF2B5EF4-FFF2-40B4-BE49-F238E27FC236}">
              <a16:creationId xmlns:a16="http://schemas.microsoft.com/office/drawing/2014/main" id="{EC7FAFC0-A90D-EC49-9239-088C0CF31DF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736E754-A38F-4547-A970-79D1FFB195F7}" name="Need_for_funds_table" displayName="Need_for_funds_table" comment="Need for funds -table. Need for funds before starting a business." ref="A10:C35" totalsRowCount="1" headerRowDxfId="807" dataDxfId="805" totalsRowDxfId="803" headerRowBorderDxfId="806" tableBorderDxfId="804" totalsRowBorderDxfId="802">
  <autoFilter ref="A10:C34" xr:uid="{9736E754-A38F-4547-A970-79D1FFB195F7}">
    <filterColumn colId="0" hiddenButton="1"/>
    <filterColumn colId="1" hiddenButton="1"/>
    <filterColumn colId="2" hiddenButton="1"/>
  </autoFilter>
  <tableColumns count="3">
    <tableColumn id="1" xr3:uid="{812A06A4-93F5-4045-8AE3-EBDA15A20200}" name="Need for funds (before you start your business)" totalsRowLabel="Total need for funds" dataDxfId="801" totalsRowDxfId="800"/>
    <tableColumn id="2" xr3:uid="{58E98FC8-08D5-AE43-96A1-C8B693055D9C}" name="€" totalsRowFunction="sum" dataDxfId="799" totalsRowDxfId="798"/>
    <tableColumn id="3" xr3:uid="{429071AF-1A89-CC48-8C41-7BB871E135A4}" name="Comment" dataDxfId="797" totalsRowDxfId="796"/>
  </tableColumns>
  <tableStyleInfo name="Helsinki_taulukko_tyyli" showFirstColumn="1" showLastColumn="0" showRowStripes="0" showColumnStripes="0"/>
  <extLst>
    <ext xmlns:x14="http://schemas.microsoft.com/office/spreadsheetml/2009/9/main" uri="{504A1905-F514-4f6f-8877-14C23A59335A}">
      <x14:table altTextSummary="Rahan tarve -taulukko"/>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6A7E7F5C-0D8F-7A4F-BD55-98FB33A93A74}" name="Three_year_growth_percentage_table" displayName="Three_year_growth_percentage_table" comment="Profitability calculation's three-year growth percentages. You can decide them yourself." ref="A43:D45" totalsRowShown="0" headerRowDxfId="725" dataDxfId="723" headerRowBorderDxfId="724" tableBorderDxfId="722" totalsRowBorderDxfId="721">
  <autoFilter ref="A43:D45" xr:uid="{6A7E7F5C-0D8F-7A4F-BD55-98FB33A93A74}">
    <filterColumn colId="0" hiddenButton="1"/>
    <filterColumn colId="1" hiddenButton="1"/>
    <filterColumn colId="2" hiddenButton="1"/>
    <filterColumn colId="3" hiddenButton="1"/>
  </autoFilter>
  <tableColumns count="4">
    <tableColumn id="1" xr3:uid="{C46AE03F-A410-DA47-88A4-20C8C731CC05}" name="Three-year growth percentage" dataDxfId="720"/>
    <tableColumn id="5" xr3:uid="{6AFD461D-8B20-1245-A74B-B217E52ADE79}" name="year 1" dataDxfId="719"/>
    <tableColumn id="2" xr3:uid="{7CBCA5E5-1C71-2544-9312-1ADE9DDF1023}" name="year 2" dataDxfId="718"/>
    <tableColumn id="3" xr3:uid="{13195A37-2535-7848-AA1F-2A4B7E4E75A1}" name="year 3" dataDxfId="717"/>
  </tableColumns>
  <tableStyleInfo name="Helsinki_taulukko_tyyli" showFirstColumn="1" showLastColumn="0" showRowStripes="0" showColumnStripes="0"/>
  <extLst>
    <ext xmlns:x14="http://schemas.microsoft.com/office/spreadsheetml/2009/9/main" uri="{504A1905-F514-4f6f-8877-14C23A59335A}">
      <x14:table altTextSummary="Kolmen vuoden kasvuprosentti -taulukko"/>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85F8EE9-F393-1249-A7AA-E046F065DBF7}" name="Instructions_for_the_profitability_calculation" displayName="Instructions_for_the_profitability_calculation" comment="More detailed instructions for how to fill certain cells in the profitability calculation tab." ref="A62:A72" totalsRowShown="0" headerRowDxfId="716" dataDxfId="714" headerRowBorderDxfId="715" tableBorderDxfId="713" totalsRowBorderDxfId="712">
  <autoFilter ref="A62:A72" xr:uid="{A85F8EE9-F393-1249-A7AA-E046F065DBF7}">
    <filterColumn colId="0" hiddenButton="1"/>
  </autoFilter>
  <tableColumns count="1">
    <tableColumn id="1" xr3:uid="{60962BD2-DBE3-4E4F-8F29-95C520B7DC62}" name="Instructions for the profitability calculation:" dataDxfId="711"/>
  </tableColumns>
  <tableStyleInfo name="Helsinki_taulukko_tyyli" showFirstColumn="0" showLastColumn="0" showRowStripes="0" showColumnStripes="0"/>
  <extLst>
    <ext xmlns:x14="http://schemas.microsoft.com/office/spreadsheetml/2009/9/main" uri="{504A1905-F514-4f6f-8877-14C23A59335A}">
      <x14:table altTextSummary="Ohjeet kannattavuuslaskelmaan"/>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7FCEA27-617E-D744-8E46-9D2D9D2302EE}" name="Products_sold_table" displayName="Products_sold_table" comment="The monthly per customer sales of six products/product groups to six customers/customer groups." ref="A7:N17" headerRowDxfId="710" dataDxfId="708" totalsRowDxfId="706" headerRowBorderDxfId="709" tableBorderDxfId="707" totalsRowBorderDxfId="705">
  <autoFilter ref="A7:N17" xr:uid="{F7FCEA27-617E-D744-8E46-9D2D9D2302E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35B406D4-272F-234A-8F49-303935145124}" name="Products/services sold per customer _x000a_(name the customer/customer group)" totalsRowLabel="Myydyt tuotteet yhteensä" dataDxfId="704" totalsRowDxfId="703"/>
    <tableColumn id="2" xr3:uid="{BC7F1891-5A34-F341-8E32-8D63F2334BAB}" name="Quantity 1" dataDxfId="702">
      <calculatedColumnFormula>SUM(B4:B7)</calculatedColumnFormula>
    </tableColumn>
    <tableColumn id="8" xr3:uid="{7C5B4822-33BF-A64B-8138-2D4DAB8F719A}" name="Margin _x000a_in total 1" dataDxfId="701">
      <calculatedColumnFormula>B8*C$6</calculatedColumnFormula>
    </tableColumn>
    <tableColumn id="3" xr3:uid="{59D0E1AD-F0B1-714D-8BEB-65022EC6BAC2}" name="Quantity 2" dataDxfId="700">
      <calculatedColumnFormula>SUM(Products_sold_table[Quantity 2])</calculatedColumnFormula>
    </tableColumn>
    <tableColumn id="9" xr3:uid="{7CD2FCD3-F35B-9648-BA83-9546A3D5BF5E}" name="Margin _x000a_in total 2" dataDxfId="699"/>
    <tableColumn id="4" xr3:uid="{B74DA014-4FB5-8F4B-85DE-62EE8B15C86E}" name="Quantity 3" dataDxfId="698">
      <calculatedColumnFormula>SUM(Products_sold_table[Quantity 3])</calculatedColumnFormula>
    </tableColumn>
    <tableColumn id="10" xr3:uid="{A70A18C7-E8F6-0245-B3EC-05FB62A16771}" name="Margin _x000a_in total 3" dataDxfId="697"/>
    <tableColumn id="5" xr3:uid="{F17E063E-554C-9840-8AC6-4EF46295BD45}" name="Quantity 4" dataDxfId="696"/>
    <tableColumn id="11" xr3:uid="{DBF6C914-6949-B44A-AA56-E053F8B1C0E9}" name="Margin _x000a_in total 4" dataDxfId="695" totalsRowDxfId="694">
      <calculatedColumnFormula>H8*I$6</calculatedColumnFormula>
    </tableColumn>
    <tableColumn id="6" xr3:uid="{BA819F3E-6F9F-C444-A763-92419B95C28A}" name="Quantity 5" dataDxfId="693" totalsRowDxfId="692">
      <calculatedColumnFormula>SUM(Products_sold_table[Quantity 5])</calculatedColumnFormula>
    </tableColumn>
    <tableColumn id="12" xr3:uid="{0585EBDC-1E44-9446-89CE-EF6E36D2FF17}" name="Margin _x000a_in total 5" dataDxfId="691" totalsRowDxfId="690">
      <calculatedColumnFormula>J8*K$6</calculatedColumnFormula>
    </tableColumn>
    <tableColumn id="7" xr3:uid="{47149505-FB6C-5E40-AA1B-BBF54C492C07}" name="Quantity 6" dataDxfId="689">
      <calculatedColumnFormula>SUM(Products_sold_table[Quantity 6])</calculatedColumnFormula>
    </tableColumn>
    <tableColumn id="13" xr3:uid="{204586BF-E19B-B94D-A42D-79BE727D6B95}" name="Margin _x000a_in total 6" dataDxfId="688">
      <calculatedColumnFormula>L8*M$6</calculatedColumnFormula>
    </tableColumn>
    <tableColumn id="14" xr3:uid="{276D0C6E-529B-7A4F-A344-2B61B55BE24E}" name="All products" dataDxfId="687">
      <calculatedColumnFormula>SUM(Products_sold_table[[#This Row],[Margin 
in total 1]],Products_sold_table[[#This Row],[Margin 
in total 2]],Products_sold_table[[#This Row],[Margin 
in total 3]],Products_sold_table[[#This Row],[Margin 
in total 4]],Products_sold_table[[#This Row],[Margin 
in total 5]],Products_sold_table[[#This Row],[Margin 
in total 6]])</calculatedColumnFormula>
    </tableColumn>
  </tableColumns>
  <tableStyleInfo name="Helsinki_taulukko_tyyli" showFirstColumn="1" showLastColumn="0" showRowStripes="0" showColumnStripes="0"/>
  <extLst>
    <ext xmlns:x14="http://schemas.microsoft.com/office/spreadsheetml/2009/9/main" uri="{504A1905-F514-4f6f-8877-14C23A59335A}">
      <x14:table altTextSummary="Tuotteiden myyntimäärä -taulukko"/>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1B9F4B2-7E37-AF45-B4B3-B29718495E5E}" name="Summary_of_sales_table" displayName="Summary_of_sales_table" comment="The monthly and yearly summary of sales of six products/product groups." ref="A18:C24" headerRowDxfId="686" dataDxfId="684" totalsRowDxfId="682" headerRowBorderDxfId="685" tableBorderDxfId="683" totalsRowBorderDxfId="681">
  <autoFilter ref="A18:C24" xr:uid="{71B9F4B2-7E37-AF45-B4B3-B29718495E5E}">
    <filterColumn colId="0" hiddenButton="1"/>
    <filterColumn colId="1" hiddenButton="1"/>
    <filterColumn colId="2" hiddenButton="1"/>
  </autoFilter>
  <tableColumns count="3">
    <tableColumn id="1" xr3:uid="{2163E343-AF68-C042-A3BA-9A11C81C8C31}" name="Summary of sales" totalsRowLabel="Total" dataDxfId="680" totalsRowDxfId="679"/>
    <tableColumn id="2" xr3:uid="{C944D976-2844-5D4B-A301-B54EEB3BE462}" name="Per month" dataDxfId="678"/>
    <tableColumn id="3" xr3:uid="{139A0563-A34B-7843-824F-A538B8D44B88}" name="Per year" totalsRowFunction="count" dataDxfId="677"/>
  </tableColumns>
  <tableStyleInfo name="Helsinki_taulukko_tyyli" showFirstColumn="1" showLastColumn="0" showRowStripes="0" showColumnStripes="0"/>
  <extLst>
    <ext xmlns:x14="http://schemas.microsoft.com/office/spreadsheetml/2009/9/main" uri="{504A1905-F514-4f6f-8877-14C23A59335A}">
      <x14:table altTextSummary="Myynnin yhteenveto -taulukko"/>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5E3A27FA-CB6C-1A45-8D6C-1754DDF3AF93}" name="Product_prices_table" displayName="Product_prices_table" comment="The prices, costs and margins (excluding tax) of six products/product groups per month." ref="A4:M6" totalsRowShown="0" headerRowDxfId="676" dataDxfId="675" tableBorderDxfId="674">
  <autoFilter ref="A4:M6" xr:uid="{5E3A27FA-CB6C-1A45-8D6C-1754DDF3AF9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4771AA42-F52D-0B4E-BDAF-0E66174BEE76}" name="Product/Product group prices, _x000a_€/month without value added tax" dataDxfId="673"/>
    <tableColumn id="2" xr3:uid="{A17F6616-B04D-0C48-88EB-0F89541113B7}" name="Price 1 _x000a_ excluding tax" dataDxfId="672">
      <calculatedColumnFormula>B4-C4</calculatedColumnFormula>
    </tableColumn>
    <tableColumn id="3" xr3:uid="{84568620-51BB-C649-B9FD-B7A36DC47D91}" name="Costs 1" dataDxfId="671">
      <calculatedColumnFormula>B4-C4</calculatedColumnFormula>
    </tableColumn>
    <tableColumn id="4" xr3:uid="{C98832E2-17B3-5D40-BC93-CF3F4B06B060}" name="Price 2 _x000a_ excluding tax" dataDxfId="670"/>
    <tableColumn id="5" xr3:uid="{DCC14671-D1EF-5F4C-A812-45F5BD2B2AD6}" name="Costs 2" dataDxfId="669">
      <calculatedColumnFormula>D4-E4</calculatedColumnFormula>
    </tableColumn>
    <tableColumn id="6" xr3:uid="{0DDB1206-FB04-1741-A76E-4BCE548FC752}" name="Price 3 _x000a_ excluding tax" dataDxfId="668"/>
    <tableColumn id="7" xr3:uid="{B60F6E70-2BDC-0D40-B00A-ACD01C38943A}" name="Costs 3" dataDxfId="667">
      <calculatedColumnFormula>F4-G4</calculatedColumnFormula>
    </tableColumn>
    <tableColumn id="8" xr3:uid="{D19D1F2F-9E32-DC40-B285-8D2DFAAE197D}" name="Price 4 _x000a_ excluding tax" dataDxfId="666"/>
    <tableColumn id="9" xr3:uid="{75292075-4172-0041-A8FF-6CDF3166E574}" name="Costs 4" dataDxfId="665">
      <calculatedColumnFormula>H4-I4</calculatedColumnFormula>
    </tableColumn>
    <tableColumn id="10" xr3:uid="{4A0152DB-AE38-9D49-80F5-54AD88E23F88}" name="Price 5 _x000a_ excluding tax" dataDxfId="664"/>
    <tableColumn id="11" xr3:uid="{FAFD83E7-39C5-D845-80CE-2EC317284A65}" name="Costs 5" dataDxfId="663">
      <calculatedColumnFormula>J4-K4</calculatedColumnFormula>
    </tableColumn>
    <tableColumn id="12" xr3:uid="{846257EE-BDD2-0A4D-8CFE-DEFF0565E522}" name="Price 6 _x000a_ excluding tax" dataDxfId="662"/>
    <tableColumn id="13" xr3:uid="{9E7ECD87-33B9-0643-AA5C-BC17461B84B8}" name="Costs 6" dataDxfId="661">
      <calculatedColumnFormula>L4-M4</calculatedColumnFormula>
    </tableColumn>
  </tableColumns>
  <tableStyleInfo name="Helsinki_taulukko_tyyli"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60A1218-0546-5B4B-AC2C-2B93DEACA6BC}" name="Cash_receipts_table_1" displayName="Cash_receipts_table_1" comment="Cash receipts of each period of the first year." ref="A10:O15" headerRowDxfId="660" dataDxfId="658" totalsRowDxfId="656" headerRowBorderDxfId="659" tableBorderDxfId="657" totalsRowBorderDxfId="655">
  <autoFilter ref="A10:O15"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0CEE2843-0A04-4A48-8A95-682329E3F0D4}" name="Cash receipts, i.e. revenues" totalsRowLabel="Yhteensä" dataDxfId="654" totalsRowDxfId="653"/>
    <tableColumn id="2" xr3:uid="{0C3E6E12-490D-984D-B780-3C39CAC6CD6C}" name="Estimate" totalsRowFunction="sum" dataDxfId="652" totalsRowDxfId="651">
      <calculatedColumnFormula>SUM(B8:B10)</calculatedColumnFormula>
    </tableColumn>
    <tableColumn id="3" xr3:uid="{4BAF0E79-25A0-9A4F-8346-5C78EC539E6D}" name="Period 1" totalsRowFunction="sum" dataDxfId="650" totalsRowDxfId="649"/>
    <tableColumn id="4" xr3:uid="{DD3D7539-7E68-A64E-85A0-A6CBD0F2690B}" name="Period 2" totalsRowFunction="sum" dataDxfId="648" totalsRowDxfId="647"/>
    <tableColumn id="5" xr3:uid="{155A3FCA-B998-EE4B-8E3E-40ADA98AD13F}" name="Period 3" totalsRowFunction="sum" dataDxfId="646" totalsRowDxfId="645"/>
    <tableColumn id="6" xr3:uid="{611A7554-8DB1-D54A-94C4-74E580DEA7CA}" name="Period 4" totalsRowFunction="sum" dataDxfId="644" totalsRowDxfId="643"/>
    <tableColumn id="7" xr3:uid="{340F6D36-24EC-7647-B7AB-EDD066AF2E24}" name="Period 5" totalsRowFunction="sum" dataDxfId="642" totalsRowDxfId="641"/>
    <tableColumn id="8" xr3:uid="{3D357208-6DDB-1E48-B1B5-2A829E98B009}" name="Period 6" totalsRowFunction="sum" dataDxfId="640" totalsRowDxfId="639"/>
    <tableColumn id="9" xr3:uid="{756AA6AA-59A7-2348-BB0C-D989C97A9912}" name="Period 7" totalsRowFunction="sum" dataDxfId="638" totalsRowDxfId="637"/>
    <tableColumn id="10" xr3:uid="{B5B911E9-4600-3646-8937-81842DF0F015}" name="Period 8" totalsRowFunction="sum" dataDxfId="636" totalsRowDxfId="635"/>
    <tableColumn id="11" xr3:uid="{866C7ED1-7291-E44D-B0E4-BE316FFB25F2}" name="Period 9" totalsRowFunction="sum" dataDxfId="634" totalsRowDxfId="633"/>
    <tableColumn id="12" xr3:uid="{D5DAD8DE-88D2-9D4D-A4C8-1783414FA538}" name="Period 10" totalsRowFunction="sum" dataDxfId="632" totalsRowDxfId="631"/>
    <tableColumn id="13" xr3:uid="{4109E121-4E80-F840-B67E-6120DC701FAE}" name="Period 11" totalsRowFunction="sum" dataDxfId="630" totalsRowDxfId="629"/>
    <tableColumn id="14" xr3:uid="{EE685BBD-B5FB-994B-A9A2-ED92FF228911}" name="Period 12" totalsRowFunction="sum" dataDxfId="628" totalsRowDxfId="627"/>
    <tableColumn id="15" xr3:uid="{0A85D873-D275-2C47-AA6F-C0D8E10F8372}" name="Total" totalsRowFunction="sum" dataDxfId="626">
      <calculatedColumnFormula>SUM(Cash_receipts_table_1[[#This Row],[Estimate]:[Period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9711FDB-A19A-7741-A748-BA2445773EAB}" name="Cash_payments_table_1" displayName="Cash_payments_table_1" comment="The cash payments (VAT 0%) of each period of the first year." ref="A22:O32" totalsRowCount="1" headerRowDxfId="625" dataDxfId="623" totalsRowDxfId="621" headerRowBorderDxfId="624" tableBorderDxfId="622" totalsRowBorderDxfId="620">
  <autoFilter ref="A22:O31"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522B3C23-86C5-3947-8296-0D3E8CD31505}" name="Cash payments (VAT 0%)" totalsRowLabel="Total cash payments" dataDxfId="619" totalsRowDxfId="618"/>
    <tableColumn id="2" xr3:uid="{634CEB58-DDCF-BF49-B1A9-D6AD4DA7F8B6}" name="Estimate" totalsRowFunction="custom" dataDxfId="617" totalsRowDxfId="616">
      <totalsRowFormula>SUM(Cash_payments_table_1[Estimate],B19)</totalsRowFormula>
    </tableColumn>
    <tableColumn id="3" xr3:uid="{4FEA20C7-9C2D-6545-9351-44D02A0FBB33}" name="Period 1" totalsRowFunction="custom" dataDxfId="615" totalsRowDxfId="614">
      <totalsRowFormula>SUM(Cash_payments_table_1[Period 1],C19)</totalsRowFormula>
    </tableColumn>
    <tableColumn id="4" xr3:uid="{5749097C-4533-D541-BC47-E0E54ADD6871}" name="Period 2" totalsRowFunction="custom" dataDxfId="613" totalsRowDxfId="612">
      <totalsRowFormula>SUM(Cash_payments_table_1[Period 2],D19,D21)</totalsRowFormula>
    </tableColumn>
    <tableColumn id="5" xr3:uid="{6E385925-E9FF-DE4B-891C-3C6D2EBDF530}" name="Period 3" totalsRowFunction="custom" dataDxfId="611" totalsRowDxfId="610">
      <totalsRowFormula>SUM(Cash_payments_table_1[Period 3],E19,E21)</totalsRowFormula>
    </tableColumn>
    <tableColumn id="6" xr3:uid="{1E5046EF-B576-4443-8C14-0EB15B7B8C34}" name="Period 4" totalsRowFunction="custom" dataDxfId="609" totalsRowDxfId="608">
      <totalsRowFormula>SUM(Cash_payments_table_1[Period 4],F19,F21)</totalsRowFormula>
    </tableColumn>
    <tableColumn id="7" xr3:uid="{9587C80D-15F3-4146-8A6E-AEC9054A891C}" name="Period 5" totalsRowFunction="custom" dataDxfId="607" totalsRowDxfId="606">
      <totalsRowFormula>SUM(Cash_payments_table_1[Period 5],G19,G21)</totalsRowFormula>
    </tableColumn>
    <tableColumn id="8" xr3:uid="{4EA2B955-461B-7145-8D26-94AABEC2B2DA}" name="Period 6" totalsRowFunction="custom" dataDxfId="605" totalsRowDxfId="604">
      <totalsRowFormula>SUM(Cash_payments_table_1[Period 6],H19,H21)</totalsRowFormula>
    </tableColumn>
    <tableColumn id="9" xr3:uid="{546E420A-B49F-DD44-9948-A99C8CBD21E1}" name="Period 7" totalsRowFunction="custom" dataDxfId="603" totalsRowDxfId="602">
      <totalsRowFormula>SUM(Cash_payments_table_1[Period 7],I19,I21)</totalsRowFormula>
    </tableColumn>
    <tableColumn id="10" xr3:uid="{C983847E-C103-5341-81F2-F55D85B7A369}" name="Period 8" totalsRowFunction="custom" dataDxfId="601" totalsRowDxfId="600">
      <totalsRowFormula>SUM(Cash_payments_table_1[Period 8],J19,J21)</totalsRowFormula>
    </tableColumn>
    <tableColumn id="11" xr3:uid="{5981EC1A-BFFE-A74B-B45E-5AF13B726CBB}" name="Period 9" totalsRowFunction="custom" dataDxfId="599" totalsRowDxfId="598">
      <totalsRowFormula>SUM(Cash_payments_table_1[Period 9],K19,K21)</totalsRowFormula>
    </tableColumn>
    <tableColumn id="12" xr3:uid="{0053C6F7-4D25-A74D-A68A-78B7AC476CFB}" name="Period 10" totalsRowFunction="custom" dataDxfId="597" totalsRowDxfId="596">
      <totalsRowFormula>SUM(Cash_payments_table_1[Period 10],L19,L21)</totalsRowFormula>
    </tableColumn>
    <tableColumn id="13" xr3:uid="{8159FAE5-52B7-A648-A848-A963D4C78DE2}" name="Period 11" totalsRowFunction="custom" dataDxfId="595" totalsRowDxfId="594">
      <totalsRowFormula>SUM(Cash_payments_table_1[Period 11],M19,M21)</totalsRowFormula>
    </tableColumn>
    <tableColumn id="14" xr3:uid="{E53B5370-4DD8-A147-AD0F-463F60C7E1C4}" name="Period 12" totalsRowFunction="custom" dataDxfId="593" totalsRowDxfId="592">
      <totalsRowFormula>SUM(Cash_payments_table_1[Period 12],N19,N21)</totalsRowFormula>
    </tableColumn>
    <tableColumn id="15" xr3:uid="{AFD5CF23-4E68-E146-85E3-4A2AC8161FA1}" name="Total" totalsRowFunction="custom" dataDxfId="591" totalsRowDxfId="590">
      <calculatedColumnFormula>SUM(Cash_payments_table_1[[#This Row],[Estimate]:[Period 12]])</calculatedColumnFormula>
      <totalsRowFormula>SUM(Cash_payments_table_1[[#Totals],[Estimate]:[Period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859B1C7-FD8F-A44C-B13C-88F30BFD3BAE}" name="Opening_balance_table_1" displayName="Opening_balance_table_1" comment="The opening balances of each period of the first year." ref="A8:O9" headerRowDxfId="589" dataDxfId="587" totalsRowDxfId="585" headerRowBorderDxfId="588" tableBorderDxfId="586" totalsRowBorderDxfId="584">
  <autoFilter ref="A8:O9"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D06AEBC0-D343-2441-A585-7EBE7E4F4D43}" name="Opening balance, i.e. cash reserves at the beginning of the period" totalsRowLabel="Total" dataDxfId="583"/>
    <tableColumn id="2" xr3:uid="{76C39746-1B35-0849-AD8E-37165ABD9082}" name="Estimate" dataDxfId="582"/>
    <tableColumn id="3" xr3:uid="{C210AD37-9AF0-1E47-AE0F-70F455A1350A}" name="Period 1" dataDxfId="581">
      <calculatedColumnFormula>B42</calculatedColumnFormula>
    </tableColumn>
    <tableColumn id="4" xr3:uid="{E5967332-3CCD-4849-B3D9-9CB621F398C5}" name="Period 2" dataDxfId="580">
      <calculatedColumnFormula>C42</calculatedColumnFormula>
    </tableColumn>
    <tableColumn id="5" xr3:uid="{970242AC-A007-4043-A0B4-5743872FFF36}" name="Period 3" dataDxfId="579">
      <calculatedColumnFormula>D42</calculatedColumnFormula>
    </tableColumn>
    <tableColumn id="6" xr3:uid="{4FA31700-4D64-784D-BD57-7E2DD2EC13D5}" name="Period 4" dataDxfId="578">
      <calculatedColumnFormula>E42</calculatedColumnFormula>
    </tableColumn>
    <tableColumn id="7" xr3:uid="{45521E9E-CAE3-B54A-A632-AB716BECC480}" name="Period 5" dataDxfId="577">
      <calculatedColumnFormula>F42</calculatedColumnFormula>
    </tableColumn>
    <tableColumn id="8" xr3:uid="{CF15E253-2ED1-4B47-A234-1AC6A8C65586}" name="Period 6" dataDxfId="576">
      <calculatedColumnFormula>G42</calculatedColumnFormula>
    </tableColumn>
    <tableColumn id="9" xr3:uid="{841657B8-670A-E740-93FB-F38AC1CBD79F}" name="Period 7" dataDxfId="575">
      <calculatedColumnFormula>H42</calculatedColumnFormula>
    </tableColumn>
    <tableColumn id="10" xr3:uid="{8D06C9DD-672F-E543-99CC-0397A357F5FD}" name="Period 8" dataDxfId="574">
      <calculatedColumnFormula>I42</calculatedColumnFormula>
    </tableColumn>
    <tableColumn id="11" xr3:uid="{CC06866C-BA61-EB44-84E1-001AE9208EFC}" name="Period 9" dataDxfId="573">
      <calculatedColumnFormula>J42</calculatedColumnFormula>
    </tableColumn>
    <tableColumn id="12" xr3:uid="{E1542018-23B4-564F-B901-259D595F9ABC}" name="Period 10" dataDxfId="572">
      <calculatedColumnFormula>K42</calculatedColumnFormula>
    </tableColumn>
    <tableColumn id="13" xr3:uid="{98B5935B-CEE3-1549-984E-B492A403DF95}" name="Period 11" dataDxfId="571">
      <calculatedColumnFormula>L42</calculatedColumnFormula>
    </tableColumn>
    <tableColumn id="14" xr3:uid="{11E288B0-7363-D946-B7DA-25BE56CE0ABC}" name="Period 12" dataDxfId="570">
      <calculatedColumnFormula>M42</calculatedColumnFormula>
    </tableColumn>
    <tableColumn id="15" xr3:uid="{2CF25CBD-FDFF-BE4B-995C-EA8B4CE5B554}" name="Total" totalsRowFunction="sum" dataDxfId="569"/>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A23FAC7-F6C9-C84C-96AE-3DE9DA5CF41C}" name="Opening_balance_and_revenue_table_1" displayName="Opening_balance_and_revenue_table_1" comment="The opening balance and revenue of each period of the first year." ref="A16:O17" headerRowDxfId="568" dataDxfId="566" totalsRowDxfId="564" headerRowBorderDxfId="567" tableBorderDxfId="565" totalsRowBorderDxfId="563">
  <autoFilter ref="A16:O17"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FF944D49-E699-D542-B3B6-230371D76A11}" name="Opening balance and revenue" totalsRowLabel="Total" dataDxfId="562" totalsRowDxfId="561"/>
    <tableColumn id="2" xr3:uid="{239E875B-0C69-1C44-A062-7FF29E1F6CB3}" name="Estimate" dataDxfId="560" totalsRowDxfId="559">
      <calculatedColumnFormula>SUM(Opening_balance_table_1[Estimate],B15)</calculatedColumnFormula>
    </tableColumn>
    <tableColumn id="3" xr3:uid="{C98BB46D-01B8-344F-96C6-7C3915A6CC58}" name="Period 1" dataDxfId="558" totalsRowDxfId="557">
      <calculatedColumnFormula>SUM(Opening_balance_table_1[Period 1],C15)</calculatedColumnFormula>
    </tableColumn>
    <tableColumn id="4" xr3:uid="{DDE9728F-41AA-EA41-8EE4-E04B54E11418}" name="Period 2" dataDxfId="556" totalsRowDxfId="555">
      <calculatedColumnFormula>SUM(Opening_balance_table_1[Period 2],D15)</calculatedColumnFormula>
    </tableColumn>
    <tableColumn id="5" xr3:uid="{7D66D97F-0765-0347-9F4C-78C24C56DA44}" name="Period 3" dataDxfId="554" totalsRowDxfId="553">
      <calculatedColumnFormula>SUM(Opening_balance_table_1[Period 3],E15)</calculatedColumnFormula>
    </tableColumn>
    <tableColumn id="6" xr3:uid="{CF7C6774-BC91-AB47-AF80-5172F2139E7D}" name="Period 4" dataDxfId="552" totalsRowDxfId="551">
      <calculatedColumnFormula>SUM(Opening_balance_table_1[Period 4],F15)</calculatedColumnFormula>
    </tableColumn>
    <tableColumn id="7" xr3:uid="{A32EC06F-840D-E24A-8F07-F79D4A487160}" name="Period 5" dataDxfId="550" totalsRowDxfId="549">
      <calculatedColumnFormula>SUM(Opening_balance_table_1[Period 5],G15)</calculatedColumnFormula>
    </tableColumn>
    <tableColumn id="8" xr3:uid="{D44B4EE8-4BDC-3349-B560-113991FA82FF}" name="Period 6" dataDxfId="548" totalsRowDxfId="547">
      <calculatedColumnFormula>SUM(Opening_balance_table_1[Period 6],H15)</calculatedColumnFormula>
    </tableColumn>
    <tableColumn id="9" xr3:uid="{C49BA971-C6CB-4D4A-A882-E7EF59BDA5C8}" name="Period 7" dataDxfId="546" totalsRowDxfId="545">
      <calculatedColumnFormula>SUM(Opening_balance_table_1[Period 7],I15)</calculatedColumnFormula>
    </tableColumn>
    <tableColumn id="10" xr3:uid="{06990DB2-3DD6-0945-8DB8-53E1FF05D731}" name="Period 8" dataDxfId="544" totalsRowDxfId="543">
      <calculatedColumnFormula>SUM(Opening_balance_table_1[Period 8],J15)</calculatedColumnFormula>
    </tableColumn>
    <tableColumn id="11" xr3:uid="{C40EF2B1-A96D-6749-A700-352F472D1595}" name="Period 9" dataDxfId="542" totalsRowDxfId="541">
      <calculatedColumnFormula>SUM(Opening_balance_table_1[Period 9],K15)</calculatedColumnFormula>
    </tableColumn>
    <tableColumn id="12" xr3:uid="{4587C0BB-226F-D849-9DBA-8E3FE7620F57}" name="Period 10" dataDxfId="540" totalsRowDxfId="539">
      <calculatedColumnFormula>SUM(Opening_balance_table_1[Period 10],L15)</calculatedColumnFormula>
    </tableColumn>
    <tableColumn id="13" xr3:uid="{84FC0671-A928-B74D-8E9C-E6FBCDC60C70}" name="Period 11" dataDxfId="538" totalsRowDxfId="537">
      <calculatedColumnFormula>SUM(Opening_balance_table_1[Period 11],M15)</calculatedColumnFormula>
    </tableColumn>
    <tableColumn id="14" xr3:uid="{568DB183-999A-E44A-8285-6A85784D8E4B}" name="Period 12" dataDxfId="536" totalsRowDxfId="535">
      <calculatedColumnFormula>SUM(Opening_balance_table_1[Period 12],N15)</calculatedColumnFormula>
    </tableColumn>
    <tableColumn id="15" xr3:uid="{672F0DBD-65AE-454C-9DD3-94B65F677E4D}" name="Total" totalsRowFunction="sum" dataDxfId="534" totalsRowDxfId="533"/>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7E86B2D-0B2E-D645-BA90-973ABE71AAEC}" name="Liquidity_table_1" displayName="Liquidity_table_1" comment="The sum of opening balance, revenues and financing for each period of the first year." ref="A41:O43" totalsRowShown="0" headerRowDxfId="532" dataDxfId="530" headerRowBorderDxfId="531" tableBorderDxfId="529" totalsRowBorderDxfId="528">
  <autoFilter ref="A41:O43"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727C1C92-1861-614C-A059-E1ED6F3DDDD5}" name="Liquidity (at the end of the month)" dataDxfId="527"/>
    <tableColumn id="2" xr3:uid="{D10DD023-E078-0A48-BCEA-5ADD7F5709A7}" name="Estimate" dataDxfId="526">
      <calculatedColumnFormula>SUM(Opening_balance_and_revenue_table_1[Estimate],-Cash_payments_table_1[[#Totals],[Estimate]],Financing_table_1[[#Totals],[Estimate]])</calculatedColumnFormula>
    </tableColumn>
    <tableColumn id="3" xr3:uid="{097ACB1C-8B97-F649-8F56-A982952CFBDC}" name="Period 1" dataDxfId="525">
      <calculatedColumnFormula>SUM(Opening_balance_and_revenue_table_1[Period 1],-Cash_payments_table_1[[#Totals],[Period 1]],Financing_table_1[[#Totals],[Period 1]])</calculatedColumnFormula>
    </tableColumn>
    <tableColumn id="4" xr3:uid="{212054C4-0F4A-ED4C-9D3F-13423745932D}" name="Period 2" dataDxfId="524">
      <calculatedColumnFormula>SUM(Opening_balance_and_revenue_table_1[Period 2],-Cash_payments_table_1[[#Totals],[Period 2]],Financing_table_1[[#Totals],[Period 2]])</calculatedColumnFormula>
    </tableColumn>
    <tableColumn id="5" xr3:uid="{0AA7A363-3EAC-8C46-A285-40077EAF1D09}" name="Period 3" dataDxfId="523">
      <calculatedColumnFormula>SUM(Opening_balance_and_revenue_table_1[Period 3],-Cash_payments_table_1[[#Totals],[Period 3]],Financing_table_1[[#Totals],[Period 3]])</calculatedColumnFormula>
    </tableColumn>
    <tableColumn id="6" xr3:uid="{A9A6FAE3-7E52-B348-9C5D-699EC64686BC}" name="Period 4" dataDxfId="522">
      <calculatedColumnFormula>SUM(Opening_balance_and_revenue_table_1[Period 4],-Cash_payments_table_1[[#Totals],[Period 4]],Financing_table_1[[#Totals],[Period 4]])</calculatedColumnFormula>
    </tableColumn>
    <tableColumn id="7" xr3:uid="{6EA9E331-0EA8-1242-B81A-4C667AB34428}" name="Period 5" dataDxfId="521">
      <calculatedColumnFormula>SUM(Opening_balance_and_revenue_table_1[Period 5],-Cash_payments_table_1[[#Totals],[Period 5]],Financing_table_1[[#Totals],[Period 5]])</calculatedColumnFormula>
    </tableColumn>
    <tableColumn id="8" xr3:uid="{61342308-CC36-584B-9540-B8330A1E2461}" name="Period 6" dataDxfId="520">
      <calculatedColumnFormula>SUM(Opening_balance_and_revenue_table_1[Period 6],-Cash_payments_table_1[[#Totals],[Period 6]],Financing_table_1[[#Totals],[Period 6]])</calculatedColumnFormula>
    </tableColumn>
    <tableColumn id="9" xr3:uid="{0657734F-1FF2-5C4C-9D95-BF529219E194}" name="Period 7" dataDxfId="519">
      <calculatedColumnFormula>SUM(Opening_balance_and_revenue_table_1[Period 7],-Cash_payments_table_1[[#Totals],[Period 7]],Financing_table_1[[#Totals],[Period 7]])</calculatedColumnFormula>
    </tableColumn>
    <tableColumn id="10" xr3:uid="{9A21286E-F052-E04B-B97D-DEF4F7F5AB1F}" name="Period 8" dataDxfId="518">
      <calculatedColumnFormula>SUM(Opening_balance_and_revenue_table_1[Period 8],-Cash_payments_table_1[[#Totals],[Period 8]],Financing_table_1[[#Totals],[Period 8]])</calculatedColumnFormula>
    </tableColumn>
    <tableColumn id="11" xr3:uid="{DBAF5266-61E0-DC41-9B7A-72CFDEE945ED}" name="Period 9" dataDxfId="517">
      <calculatedColumnFormula>SUM(Opening_balance_and_revenue_table_1[Period 9],-Cash_payments_table_1[[#Totals],[Period 9]],Financing_table_1[[#Totals],[Period 9]])</calculatedColumnFormula>
    </tableColumn>
    <tableColumn id="12" xr3:uid="{A936E053-04CC-3F4C-8562-058614D8332E}" name="Period 10" dataDxfId="516">
      <calculatedColumnFormula>SUM(Opening_balance_and_revenue_table_1[Period 10],-Cash_payments_table_1[[#Totals],[Period 10]],Financing_table_1[[#Totals],[Period 10]])</calculatedColumnFormula>
    </tableColumn>
    <tableColumn id="13" xr3:uid="{F6D6C17D-BE7F-E545-9639-9C557340BAAC}" name="Period 11" dataDxfId="515">
      <calculatedColumnFormula>SUM(Opening_balance_and_revenue_table_1[Period 11],-Cash_payments_table_1[[#Totals],[Period 11]],Financing_table_1[[#Totals],[Period 11]])</calculatedColumnFormula>
    </tableColumn>
    <tableColumn id="14" xr3:uid="{31D76C86-A114-644D-9620-69FB7348CBFA}" name="Period 12" dataDxfId="514">
      <calculatedColumnFormula>SUM(Opening_balance_and_revenue_table_1[Period 12],-Cash_payments_table_1[[#Totals],[Period 12]],Financing_table_1[[#Totals],[Period 12]])</calculatedColumnFormula>
    </tableColumn>
    <tableColumn id="15" xr3:uid="{2A950F9B-369B-A849-88DD-2F3B3A2D1812}" name="Total" dataDxfId="513">
      <calculatedColumnFormula>SUM(Liquidity_table_1[[#This Row],[Estimate]:[Period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3D00F8E-4FE8-5343-9E50-05611CDD7B09}" name="Sources_of_funds_table" displayName="Sources_of_funds_table" comment="Sources of funds -table. Sources of funds for start-up funding." ref="A36:C49" totalsRowCount="1" headerRowDxfId="795" dataDxfId="793" totalsRowDxfId="791" headerRowBorderDxfId="794" tableBorderDxfId="792" totalsRowBorderDxfId="790">
  <autoFilter ref="A36:C48" xr:uid="{53D00F8E-4FE8-5343-9E50-05611CDD7B09}">
    <filterColumn colId="0" hiddenButton="1"/>
    <filterColumn colId="1" hiddenButton="1"/>
    <filterColumn colId="2" hiddenButton="1"/>
  </autoFilter>
  <tableColumns count="3">
    <tableColumn id="1" xr3:uid="{7E882E9A-B1F9-0D43-95B9-E0702F872DE5}" name="Sources of funds (how will you arrange start-up funding?)" totalsRowLabel="Total sources of funds" dataDxfId="789" totalsRowDxfId="788"/>
    <tableColumn id="2" xr3:uid="{148B4ED3-F452-784D-9677-F351FBCBC27E}" name="€" totalsRowFunction="sum" dataDxfId="787" totalsRowDxfId="786"/>
    <tableColumn id="3" xr3:uid="{8B7B5EFE-05F9-2947-95F1-C3DBF4E1A476}" name="Comment" dataDxfId="785" totalsRowDxfId="784"/>
  </tableColumns>
  <tableStyleInfo name="Helsinki_taulukko_tyyli" showFirstColumn="1" showLastColumn="0" showRowStripes="0" showColumnStripes="0"/>
  <extLst>
    <ext xmlns:x14="http://schemas.microsoft.com/office/spreadsheetml/2009/9/main" uri="{504A1905-F514-4f6f-8877-14C23A59335A}">
      <x14:table altTextSummary="Rahan lähteet -taulukko"/>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922F40D-8C92-8749-908C-49EACF919822}" name="Financing_table_1" displayName="Financing_table_1" comment="The financing of each period of the first year. Loan repayments and owner's personal withdrawals are excluded." ref="A33:O40" totalsRowCount="1" headerRowDxfId="512" dataDxfId="510" totalsRowDxfId="508" headerRowBorderDxfId="511" tableBorderDxfId="509" totalsRowBorderDxfId="507">
  <autoFilter ref="A33:O39"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FCC523B1-AF2A-C045-80AB-E256FC98FA22}" name="Financing" totalsRowLabel="Total financing" dataDxfId="506" totalsRowDxfId="505"/>
    <tableColumn id="2" xr3:uid="{66B96561-A5D0-964C-BF35-2B42BDBA69A7}" name="Estimate" totalsRowFunction="custom" dataDxfId="504" totalsRowDxfId="503">
      <totalsRowFormula>SUM(-B34,B35:B36,-B37,B38:B39)</totalsRowFormula>
    </tableColumn>
    <tableColumn id="3" xr3:uid="{2818987C-6573-A04D-950E-277724F8F9F8}" name="Period 1" totalsRowFunction="custom" dataDxfId="502" totalsRowDxfId="501">
      <totalsRowFormula>SUM(-C34,C35:C36,-C37,C38:C39)</totalsRowFormula>
    </tableColumn>
    <tableColumn id="4" xr3:uid="{76CF96B1-D50C-E242-804B-1620F4C0344A}" name="Period 2" totalsRowFunction="custom" dataDxfId="500" totalsRowDxfId="499">
      <totalsRowFormula>SUM(-D34,D35:D36,-D37,D38:D39)</totalsRowFormula>
    </tableColumn>
    <tableColumn id="5" xr3:uid="{878831BD-1F90-8C45-A854-5A08E712C68E}" name="Period 3" totalsRowFunction="custom" dataDxfId="498" totalsRowDxfId="497">
      <totalsRowFormula>SUM(-E34,E35:E36,-E37,E38:E39)</totalsRowFormula>
    </tableColumn>
    <tableColumn id="6" xr3:uid="{64D76D1D-1094-2843-9289-BAB199C0A6B3}" name="Period 4" totalsRowFunction="custom" dataDxfId="496" totalsRowDxfId="495">
      <totalsRowFormula>SUM(-F34,F35:F36,-F37,F38:F39)</totalsRowFormula>
    </tableColumn>
    <tableColumn id="7" xr3:uid="{89D6CEB3-4441-FC47-9AE6-FC204FBB9CC2}" name="Period 5" totalsRowFunction="custom" dataDxfId="494" totalsRowDxfId="493">
      <totalsRowFormula>SUM(-G34,G35:G36,-G37,G38:G39)</totalsRowFormula>
    </tableColumn>
    <tableColumn id="8" xr3:uid="{398A2667-2674-7847-B8AE-DDD76C4A7EA5}" name="Period 6" totalsRowFunction="custom" dataDxfId="492" totalsRowDxfId="491">
      <totalsRowFormula>SUM(-H34,H35:H36,-H37,H38:H39)</totalsRowFormula>
    </tableColumn>
    <tableColumn id="9" xr3:uid="{65A40B66-B2B9-F643-BA51-784E65A9E1F3}" name="Period 7" totalsRowFunction="custom" dataDxfId="490" totalsRowDxfId="489">
      <totalsRowFormula>SUM(-I34,I35:I36,-I37,I38:I39)</totalsRowFormula>
    </tableColumn>
    <tableColumn id="10" xr3:uid="{F0E50584-0AC5-E94F-B03A-0699A73EF4A2}" name="Period 8" totalsRowFunction="custom" dataDxfId="488" totalsRowDxfId="487">
      <totalsRowFormula>SUM(-J34,J35:J36,-J37,J38:J39)</totalsRowFormula>
    </tableColumn>
    <tableColumn id="11" xr3:uid="{A60E92D4-4E1E-9F4D-8659-9ED0E99B108B}" name="Period 9" totalsRowFunction="custom" dataDxfId="486" totalsRowDxfId="485">
      <totalsRowFormula>SUM(-K34,K35:K36,-K37,K38:K39)</totalsRowFormula>
    </tableColumn>
    <tableColumn id="12" xr3:uid="{87F3551F-DB54-BF4C-B8A3-AA29CEA18BF8}" name="Period 10" totalsRowFunction="custom" dataDxfId="484" totalsRowDxfId="483">
      <totalsRowFormula>SUM(-L34,L35:L36,-L37,L38:L39)</totalsRowFormula>
    </tableColumn>
    <tableColumn id="13" xr3:uid="{BEB17145-FA92-A04F-871D-68B27B1B2A10}" name="Period 11" totalsRowFunction="custom" dataDxfId="482" totalsRowDxfId="481">
      <totalsRowFormula>SUM(-M34,M35:M36,-M37,M38:M39)</totalsRowFormula>
    </tableColumn>
    <tableColumn id="14" xr3:uid="{CAC666F2-7C2F-4A44-8E05-F0C3DEA2A2F2}" name="Period 12" totalsRowFunction="custom" dataDxfId="480" totalsRowDxfId="479">
      <totalsRowFormula>SUM(-N34,N35:N36,-N37,N38:N39)</totalsRowFormula>
    </tableColumn>
    <tableColumn id="15" xr3:uid="{5C7D0F0A-23B9-3E4F-AFE1-A0452424FC57}" name="Total" totalsRowFunction="custom" dataDxfId="478" totalsRowDxfId="477">
      <calculatedColumnFormula>SUM(Financing_table_1[[#This Row],[Estimate]:[Period 12]])</calculatedColumnFormula>
      <totalsRowFormula>SUM(Financing_table_1[[#Totals],[Estimate]:[Period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FE437FF9-D5FB-684A-AAC0-0E054B3277B7}" name="Instructions_for_the_cash_flow_calculation_1" displayName="Instructions_for_the_cash_flow_calculation_1" comment="Instructions for the cash flow calculation of the first year." ref="A44:A45" totalsRowShown="0" headerRowDxfId="476" dataDxfId="474" headerRowBorderDxfId="475" tableBorderDxfId="473" totalsRowBorderDxfId="472">
  <autoFilter ref="A44:A45" xr:uid="{FE437FF9-D5FB-684A-AAC0-0E054B3277B7}">
    <filterColumn colId="0" hiddenButton="1"/>
  </autoFilter>
  <tableColumns count="1">
    <tableColumn id="1" xr3:uid="{E74F2B20-1C8F-D146-A876-FD0500E1F2F7}" name="Instructions for the cash flow calculation:" dataDxfId="471"/>
  </tableColumns>
  <tableStyleInfo name="Helsinki_taulukko_tyyli" showFirstColumn="0" showLastColumn="0" showRowStripes="0"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47778E7-A926-1E41-AD64-F4192822B7A0}" name="Cash_payments_VAT_table_1" displayName="Cash_payments_VAT_table_1" comment="The cash payments (including VAT) of each period of the first year." ref="A18:O21" headerRowDxfId="470" dataDxfId="468" totalsRowDxfId="466" headerRowBorderDxfId="469" tableBorderDxfId="467" totalsRowBorderDxfId="465">
  <autoFilter ref="A18:O21"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9A8CC0D1-2D22-FC42-B484-775C2EA37CBC}" name="Cash payments (including VAT)" totalsRowLabel="Total" dataDxfId="464" totalsRowDxfId="463"/>
    <tableColumn id="2" xr3:uid="{D5C62868-FD46-B447-9A40-0E6EB2AEC02C}" name="Estimate" dataDxfId="462" totalsRowDxfId="461">
      <calculatedColumnFormula>SUM(Opening_balance_table_1[Estimate],Cash_receipts_table_1[[#Totals],[Estimate]])</calculatedColumnFormula>
    </tableColumn>
    <tableColumn id="3" xr3:uid="{F833C43F-3BCA-0C47-8B3C-66D4CFEB6852}" name="Period 1" dataDxfId="460" totalsRowDxfId="459">
      <calculatedColumnFormula>SUM(Opening_balance_table_1[Period 1],Cash_receipts_table_1[[#Totals],[Period 1]])</calculatedColumnFormula>
    </tableColumn>
    <tableColumn id="4" xr3:uid="{FF88752E-4300-8047-AAA3-C047D5DAC3C4}" name="Period 2" dataDxfId="458" totalsRowDxfId="457">
      <calculatedColumnFormula>SUM(Opening_balance_table_1[Period 2],Cash_receipts_table_1[[#Totals],[Period 2]])</calculatedColumnFormula>
    </tableColumn>
    <tableColumn id="5" xr3:uid="{002BD6C8-D907-6540-85E9-446FA9121892}" name="Period 3" dataDxfId="456" totalsRowDxfId="455">
      <calculatedColumnFormula>SUM(Opening_balance_table_1[Period 3],Cash_receipts_table_1[[#Totals],[Period 3]])</calculatedColumnFormula>
    </tableColumn>
    <tableColumn id="6" xr3:uid="{4309D0BC-C0CA-5E48-AE04-C339C357A133}" name="Period 4" dataDxfId="454" totalsRowDxfId="453">
      <calculatedColumnFormula>SUM(Opening_balance_table_1[Period 4],Cash_receipts_table_1[[#Totals],[Period 4]])</calculatedColumnFormula>
    </tableColumn>
    <tableColumn id="7" xr3:uid="{BE9C6D79-1DD8-BB4E-A544-05FA0B765286}" name="Period 5" dataDxfId="452" totalsRowDxfId="451">
      <calculatedColumnFormula>SUM(Opening_balance_table_1[Period 5],Cash_receipts_table_1[[#Totals],[Period 5]])</calculatedColumnFormula>
    </tableColumn>
    <tableColumn id="8" xr3:uid="{E15A4C4D-3F97-0243-825A-B2584CDBDA0D}" name="Period 6" dataDxfId="450" totalsRowDxfId="449">
      <calculatedColumnFormula>SUM(Opening_balance_table_1[Period 6],Cash_receipts_table_1[[#Totals],[Period 6]])</calculatedColumnFormula>
    </tableColumn>
    <tableColumn id="9" xr3:uid="{A9E54B78-619B-F64C-B98C-D2E290F6C767}" name="Period 7" dataDxfId="448" totalsRowDxfId="447">
      <calculatedColumnFormula>SUM(Opening_balance_table_1[Period 7],Cash_receipts_table_1[[#Totals],[Period 7]])</calculatedColumnFormula>
    </tableColumn>
    <tableColumn id="10" xr3:uid="{43E100C5-2A63-AD40-90C0-8B6F2F49E45A}" name="Period 8" dataDxfId="446" totalsRowDxfId="445">
      <calculatedColumnFormula>SUM(Opening_balance_table_1[Period 8],Cash_receipts_table_1[[#Totals],[Period 8]])</calculatedColumnFormula>
    </tableColumn>
    <tableColumn id="11" xr3:uid="{3F4B51C0-0A63-4F43-A1A9-E588325FE9F0}" name="Period 9" dataDxfId="444" totalsRowDxfId="443">
      <calculatedColumnFormula>SUM(Opening_balance_table_1[Period 9],Cash_receipts_table_1[[#Totals],[Period 9]])</calculatedColumnFormula>
    </tableColumn>
    <tableColumn id="12" xr3:uid="{6D6C54C7-9FA7-1B45-9F12-F375057CA166}" name="Period 10" dataDxfId="442" totalsRowDxfId="441">
      <calculatedColumnFormula>SUM(Opening_balance_table_1[Period 10],Cash_receipts_table_1[[#Totals],[Period 10]])</calculatedColumnFormula>
    </tableColumn>
    <tableColumn id="13" xr3:uid="{14276E9C-F6B9-AF4B-ADD2-C5BEAB782EF9}" name="Period 11" dataDxfId="440" totalsRowDxfId="439">
      <calculatedColumnFormula>SUM(Opening_balance_table_1[Period 11],Cash_receipts_table_1[[#Totals],[Period 11]])</calculatedColumnFormula>
    </tableColumn>
    <tableColumn id="14" xr3:uid="{DD70956B-7297-F143-94D3-39CB3B759AE6}" name="Period 12" dataDxfId="438" totalsRowDxfId="437">
      <calculatedColumnFormula>SUM(Opening_balance_table_1[Period 12],Cash_receipts_table_1[[#Totals],[Period 12]])</calculatedColumnFormula>
    </tableColumn>
    <tableColumn id="15" xr3:uid="{DDC97F0A-E59E-AF43-9522-72F5D0FEF750}" name="Total" totalsRowFunction="sum" dataDxfId="436" totalsRowDxfId="435">
      <calculatedColumnFormula>SUM(Opening_balance_table_1[Total],Cash_receipts_table_1[[#Totals],[Total]])</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4DE81890-19C2-FA49-8E8F-931C48423BA0}" name="Cash_receipts_table_2" displayName="Cash_receipts_table_2" comment="Cash receipts of each period of the second year." ref="A10:N15" headerRowDxfId="434" dataDxfId="432" totalsRowDxfId="430" headerRowBorderDxfId="433" tableBorderDxfId="431" totalsRowBorderDxfId="429">
  <autoFilter ref="A10:N15"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B2FB31B5-01D6-A14A-A006-02D948D1461A}" name="Cash receipts, i.e. revenues" totalsRowLabel="Yhteensä" dataDxfId="428" totalsRowDxfId="427"/>
    <tableColumn id="3" xr3:uid="{54FE5027-D959-C04A-B433-F21E68581576}" name="Period 1" totalsRowFunction="sum" dataDxfId="426" totalsRowDxfId="425"/>
    <tableColumn id="4" xr3:uid="{8B2A603F-EBB4-C24F-9118-1CC0EC97F8A1}" name="Period 2" totalsRowFunction="sum" dataDxfId="424" totalsRowDxfId="423"/>
    <tableColumn id="5" xr3:uid="{CFD3C3DC-87A1-034B-BD00-3AF22123B101}" name="Period 3" totalsRowFunction="sum" dataDxfId="422" totalsRowDxfId="421"/>
    <tableColumn id="6" xr3:uid="{BAC9B149-F847-BB44-ACAE-381884DE4887}" name="Period 4" totalsRowFunction="sum" dataDxfId="420" totalsRowDxfId="419"/>
    <tableColumn id="7" xr3:uid="{002B1B25-8363-4A4E-930F-C8960C5E574F}" name="Period 5" totalsRowFunction="sum" dataDxfId="418" totalsRowDxfId="417"/>
    <tableColumn id="8" xr3:uid="{DE2B8EFD-75C8-3949-9EE0-CC9A1F075042}" name="Period 6" totalsRowFunction="sum" dataDxfId="416" totalsRowDxfId="415"/>
    <tableColumn id="9" xr3:uid="{E84300C2-72DB-954D-9654-2F8C0F41CDB0}" name="Period 7" totalsRowFunction="sum" dataDxfId="414" totalsRowDxfId="413"/>
    <tableColumn id="10" xr3:uid="{CFDBB0E7-4728-BE49-A565-1E772A4C7E31}" name="Period 8" totalsRowFunction="sum" dataDxfId="412" totalsRowDxfId="411"/>
    <tableColumn id="11" xr3:uid="{F4D2F198-8789-7443-8560-22BA50C03D8B}" name="Period 9" totalsRowFunction="sum" dataDxfId="410" totalsRowDxfId="409"/>
    <tableColumn id="12" xr3:uid="{C0606655-2C9F-6046-A42B-4FAB790E6ECF}" name="Period 10" totalsRowFunction="sum" dataDxfId="408" totalsRowDxfId="407"/>
    <tableColumn id="13" xr3:uid="{DBF4B5F9-E095-C142-8D7A-CFEF28E5DFBE}" name="Period 11" totalsRowFunction="sum" dataDxfId="406" totalsRowDxfId="405"/>
    <tableColumn id="14" xr3:uid="{34D1A991-646D-4543-850D-730F02C35846}" name="Period 12" totalsRowFunction="sum" dataDxfId="404" totalsRowDxfId="403"/>
    <tableColumn id="15" xr3:uid="{8861E1EC-CD20-0444-9644-1A2542D2E6FD}" name="Total" totalsRowFunction="sum" dataDxfId="402" totalsRowDxfId="401">
      <calculatedColumnFormula>SUM(Cash_receipts_table_2[[#This Row],[Period 1]:[Period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5C3544E7-7892-C749-8B8A-09ED0634E467}" name="Cash_payments_table_2" displayName="Cash_payments_table_2" comment="The cash payments (VAT 0%) of each period of the second year." ref="A22:N32" totalsRowCount="1" headerRowDxfId="400" dataDxfId="398" totalsRowDxfId="396" headerRowBorderDxfId="399" tableBorderDxfId="397" totalsRowBorderDxfId="395">
  <autoFilter ref="A22:N31"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50C9E6A2-DD68-DC42-9C51-8B01DCABAE98}" name="Cash payments (VAT 0%)" totalsRowLabel="Total cash payments" dataDxfId="394" totalsRowDxfId="393"/>
    <tableColumn id="3" xr3:uid="{9EBA3A1F-4540-734E-8AA0-83564FAFEC0F}" name="Period 1" totalsRowFunction="custom" dataDxfId="392" totalsRowDxfId="391">
      <totalsRowFormula>SUM(Cash_payments_table_2[Period 1],B19,B21)</totalsRowFormula>
    </tableColumn>
    <tableColumn id="4" xr3:uid="{FDA02E50-3C80-B94D-901F-625A56CD8531}" name="Period 2" totalsRowFunction="custom" dataDxfId="390" totalsRowDxfId="389">
      <totalsRowFormula>SUM(Cash_payments_table_2[Period 2],C19,C21)</totalsRowFormula>
    </tableColumn>
    <tableColumn id="5" xr3:uid="{38C01A60-C901-0040-A602-8E6063FD02DB}" name="Period 3" totalsRowFunction="custom" dataDxfId="388" totalsRowDxfId="387">
      <totalsRowFormula>SUM(Cash_payments_table_2[Period 3],D19,D21)</totalsRowFormula>
    </tableColumn>
    <tableColumn id="6" xr3:uid="{4D10E16B-9DC3-8544-BCBE-13883DE60C94}" name="Period 4" totalsRowFunction="custom" dataDxfId="386" totalsRowDxfId="385">
      <totalsRowFormula>SUM(Cash_payments_table_2[Period 4],E19,E21)</totalsRowFormula>
    </tableColumn>
    <tableColumn id="7" xr3:uid="{3D87EA85-A350-9748-9F49-CDA6D1BE9939}" name="Period 5" totalsRowFunction="custom" dataDxfId="384" totalsRowDxfId="383">
      <totalsRowFormula>SUM(Cash_payments_table_2[Period 5],F19,F21)</totalsRowFormula>
    </tableColumn>
    <tableColumn id="8" xr3:uid="{A693B5F4-D290-AC4E-A93A-4DFA62ACE5B9}" name="Period 6" totalsRowFunction="custom" dataDxfId="382" totalsRowDxfId="381">
      <totalsRowFormula>SUM(Cash_payments_table_2[Period 6],G19,G21)</totalsRowFormula>
    </tableColumn>
    <tableColumn id="9" xr3:uid="{792ACC92-B80D-6443-B08F-938C3DA89405}" name="Period 7" totalsRowFunction="custom" dataDxfId="380" totalsRowDxfId="379">
      <totalsRowFormula>SUM(Cash_payments_table_2[Period 7],H19,H21)</totalsRowFormula>
    </tableColumn>
    <tableColumn id="10" xr3:uid="{96109234-A843-F54D-AC47-3A80AA9D738B}" name="Period 8" totalsRowFunction="custom" dataDxfId="378" totalsRowDxfId="377">
      <totalsRowFormula>SUM(Cash_payments_table_2[Period 8],I19,I21)</totalsRowFormula>
    </tableColumn>
    <tableColumn id="11" xr3:uid="{B8F201BC-882D-E742-9AA7-8C68C6D88B3B}" name="Period 9" totalsRowFunction="custom" dataDxfId="376" totalsRowDxfId="375">
      <totalsRowFormula>SUM(Cash_payments_table_2[Period 9],J19,J21)</totalsRowFormula>
    </tableColumn>
    <tableColumn id="12" xr3:uid="{7A53A46A-5BC8-2A47-8573-AB9BE25215BF}" name="Period 10" totalsRowFunction="custom" dataDxfId="374" totalsRowDxfId="373">
      <totalsRowFormula>SUM(Cash_payments_table_2[Period 10],K19,K21)</totalsRowFormula>
    </tableColumn>
    <tableColumn id="13" xr3:uid="{05C97F71-4B7A-DB43-B081-A8441D37F8EA}" name="Period 11" totalsRowFunction="custom" dataDxfId="372" totalsRowDxfId="371">
      <totalsRowFormula>SUM(Cash_payments_table_2[Period 11],L19,L21)</totalsRowFormula>
    </tableColumn>
    <tableColumn id="14" xr3:uid="{B86FA89A-DC3F-D64F-8216-78C1DCBBB943}" name="Period 12" totalsRowFunction="custom" dataDxfId="370" totalsRowDxfId="369">
      <totalsRowFormula>SUM(Cash_payments_table_2[Period 12],M19,M21)</totalsRowFormula>
    </tableColumn>
    <tableColumn id="15" xr3:uid="{D9319BC3-F3AC-5842-9664-68E39C1DD6DB}" name="Total" totalsRowFunction="custom" dataDxfId="368" totalsRowDxfId="367">
      <calculatedColumnFormula>SUM(Cash_payments_table_2[[#This Row],[Period 1]:[Period 12]])</calculatedColumnFormula>
      <totalsRowFormula>SUM(Cash_payments_table_2[[#Totals],[Period 1]:[Period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B4CA1C5D-60F3-0346-8340-01DEB743E8E7}" name="Opening_balance_table_2" displayName="Opening_balance_table_2" comment="The opening balances of each period of the second year." ref="A8:N9" headerRowDxfId="366" dataDxfId="364" totalsRowDxfId="362" headerRowBorderDxfId="365" tableBorderDxfId="363" totalsRowBorderDxfId="361">
  <autoFilter ref="A8:N9"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2B879D7D-B1DF-0E4A-9176-88B7029B7775}" name="Opening balance, i.e. cash reserves at the beginning of the period" totalsRowLabel="Total" dataDxfId="360"/>
    <tableColumn id="3" xr3:uid="{B3339FBB-A7FF-094D-A2BA-5E8C94903117}" name="Period 1" dataDxfId="359">
      <calculatedColumnFormula>'Cash flow calculation (Y1)'!N42</calculatedColumnFormula>
    </tableColumn>
    <tableColumn id="4" xr3:uid="{44A0AC23-0295-BC4A-8A74-2B7436909F5E}" name="Period 2" dataDxfId="358">
      <calculatedColumnFormula>B42</calculatedColumnFormula>
    </tableColumn>
    <tableColumn id="5" xr3:uid="{1CA224BA-A73F-204E-A3F7-7BED8430DEFC}" name="Period 3" dataDxfId="357">
      <calculatedColumnFormula>C42</calculatedColumnFormula>
    </tableColumn>
    <tableColumn id="6" xr3:uid="{DD286584-5E64-B14F-9B63-50FD0049BA3E}" name="Period 4" dataDxfId="356">
      <calculatedColumnFormula>D42</calculatedColumnFormula>
    </tableColumn>
    <tableColumn id="7" xr3:uid="{A6B23427-EDE2-7242-975A-5380D024A736}" name="Period 5" dataDxfId="355">
      <calculatedColumnFormula>E42</calculatedColumnFormula>
    </tableColumn>
    <tableColumn id="8" xr3:uid="{FEDE8220-B166-A840-ABF0-8642BEEFEB2C}" name="Period 6" dataDxfId="354">
      <calculatedColumnFormula>F42</calculatedColumnFormula>
    </tableColumn>
    <tableColumn id="9" xr3:uid="{0AD54708-A661-2D43-96AF-0AE4445FFD65}" name="Period 7" dataDxfId="353">
      <calculatedColumnFormula>G42</calculatedColumnFormula>
    </tableColumn>
    <tableColumn id="10" xr3:uid="{A090ED3A-E7A9-EA4D-B286-A3AD7C0C9CE1}" name="Period 8" dataDxfId="352">
      <calculatedColumnFormula>H42</calculatedColumnFormula>
    </tableColumn>
    <tableColumn id="11" xr3:uid="{6EEFCDF4-D780-3742-BFC0-57F8F6F5369F}" name="Period 9" dataDxfId="351">
      <calculatedColumnFormula>I42</calculatedColumnFormula>
    </tableColumn>
    <tableColumn id="12" xr3:uid="{0FF905D4-1CB8-774F-A4DE-5B6A921E1CD2}" name="Period 10" dataDxfId="350">
      <calculatedColumnFormula>J42</calculatedColumnFormula>
    </tableColumn>
    <tableColumn id="13" xr3:uid="{997C2672-2D88-964A-93E8-C0B530CEBEDE}" name="Period 11" dataDxfId="349">
      <calculatedColumnFormula>K42</calculatedColumnFormula>
    </tableColumn>
    <tableColumn id="14" xr3:uid="{E220ABCA-F4F8-C543-A1D9-4DBE785EFBA1}" name="Period 12" dataDxfId="348">
      <calculatedColumnFormula>L42</calculatedColumnFormula>
    </tableColumn>
    <tableColumn id="15" xr3:uid="{7A65C4EF-8822-1E4B-8584-C20CD38EB749}" name="Total" totalsRowFunction="sum" dataDxfId="347"/>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2C8C81D4-5D6C-0743-9F1B-D79B140F6758}" name="Opening_balance_and_revenue_table_2" displayName="Opening_balance_and_revenue_table_2" comment="The opening balance and revenue of each period of the second year." ref="A16:N17" headerRowDxfId="346" dataDxfId="344" totalsRowDxfId="342" headerRowBorderDxfId="345" tableBorderDxfId="343" totalsRowBorderDxfId="341">
  <autoFilter ref="A16:N17"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6707F626-2E6C-3C41-AD4B-694ED492D722}" name="Opening balance and revenue" totalsRowLabel="Total" dataDxfId="340" totalsRowDxfId="339"/>
    <tableColumn id="3" xr3:uid="{B6AB6068-3F16-4C49-B5DB-6E0BFAEEB08F}" name="Period 1" dataDxfId="338" totalsRowDxfId="337">
      <calculatedColumnFormula>SUM(Opening_balance_table_2[Period 1],B15)</calculatedColumnFormula>
    </tableColumn>
    <tableColumn id="4" xr3:uid="{A15FAF32-7EB0-6543-8F51-B8859010F4BC}" name="Period 2" dataDxfId="336" totalsRowDxfId="335">
      <calculatedColumnFormula>SUM(Opening_balance_table_2[Period 2],C15)</calculatedColumnFormula>
    </tableColumn>
    <tableColumn id="5" xr3:uid="{00444C7A-18EF-7A49-A8A5-EDDBC95A7E69}" name="Period 3" dataDxfId="334" totalsRowDxfId="333">
      <calculatedColumnFormula>SUM(Opening_balance_table_2[Period 3],D15)</calculatedColumnFormula>
    </tableColumn>
    <tableColumn id="6" xr3:uid="{F28D2454-7292-F046-AA18-B1034CC6D318}" name="Period 4" dataDxfId="332" totalsRowDxfId="331">
      <calculatedColumnFormula>SUM(Opening_balance_table_2[Period 4],E15)</calculatedColumnFormula>
    </tableColumn>
    <tableColumn id="7" xr3:uid="{D0270102-1A4F-4843-950E-F044B2572EB9}" name="Period 5" dataDxfId="330" totalsRowDxfId="329">
      <calculatedColumnFormula>SUM(Opening_balance_table_2[Period 5],F15)</calculatedColumnFormula>
    </tableColumn>
    <tableColumn id="8" xr3:uid="{48CCD256-BACC-6445-A740-1F6712C6605C}" name="Period 6" dataDxfId="328" totalsRowDxfId="327">
      <calculatedColumnFormula>SUM(Opening_balance_table_2[Period 6],G15)</calculatedColumnFormula>
    </tableColumn>
    <tableColumn id="9" xr3:uid="{60F19E4D-7FB6-EB4D-85E3-346D846FF87B}" name="Period 7" dataDxfId="326" totalsRowDxfId="325">
      <calculatedColumnFormula>SUM(Opening_balance_table_2[Period 7],H15)</calculatedColumnFormula>
    </tableColumn>
    <tableColumn id="10" xr3:uid="{0EF0275A-8A08-B148-998A-58FDA2F5D397}" name="Period 8" dataDxfId="324" totalsRowDxfId="323">
      <calculatedColumnFormula>SUM(Opening_balance_table_2[Period 8],I15)</calculatedColumnFormula>
    </tableColumn>
    <tableColumn id="11" xr3:uid="{BA9C6593-14D0-B042-A952-6B4C12F54BE8}" name="Period 9" dataDxfId="322" totalsRowDxfId="321">
      <calculatedColumnFormula>SUM(Opening_balance_table_2[Period 9],J15)</calculatedColumnFormula>
    </tableColumn>
    <tableColumn id="12" xr3:uid="{777B5E50-5D3C-174A-8380-BAD507CF34A2}" name="Period 10" dataDxfId="320" totalsRowDxfId="319">
      <calculatedColumnFormula>SUM(Opening_balance_table_2[Period 10],K15)</calculatedColumnFormula>
    </tableColumn>
    <tableColumn id="13" xr3:uid="{20424807-241A-E647-9F96-EB2EF1C7640B}" name="Period 11" dataDxfId="318" totalsRowDxfId="317">
      <calculatedColumnFormula>SUM(Opening_balance_table_2[Period 11],L15)</calculatedColumnFormula>
    </tableColumn>
    <tableColumn id="14" xr3:uid="{F8E711B2-F2DC-8046-AF34-FAEDF8DFC9D2}" name="Period 12" dataDxfId="316" totalsRowDxfId="315">
      <calculatedColumnFormula>SUM(Opening_balance_table_2[Period 12],M15)</calculatedColumnFormula>
    </tableColumn>
    <tableColumn id="15" xr3:uid="{20AC50C8-3DDC-2A4A-9514-33DD80F88D8A}" name="Total" totalsRowFunction="sum" dataDxfId="314" totalsRowDxfId="313"/>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D34E4FA-F0D6-EE4C-BA95-5735985C8607}" name="Liquidity_table_2" displayName="Liquidity_table_2" comment="The sum of opening balance, revenues and financing for each period of the second year." ref="A41:N43" totalsRowShown="0" headerRowDxfId="312" dataDxfId="310" headerRowBorderDxfId="311" tableBorderDxfId="309" totalsRowBorderDxfId="308">
  <autoFilter ref="A41:N43"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92DEFA56-9820-9A49-BC6C-F7FC5B1AB7A0}" name="Liquidity (at the end of the month)" dataDxfId="307"/>
    <tableColumn id="3" xr3:uid="{18928AFB-FC8A-F043-B241-3D9B251032AD}" name="Period 1" dataDxfId="306">
      <calculatedColumnFormula>SUM(Opening_balance_and_revenue_table_2[Period 1],-Cash_payments_table_2[[#Totals],[Period 1]],Financing_table_2[[#Totals],[Period 1]])</calculatedColumnFormula>
    </tableColumn>
    <tableColumn id="4" xr3:uid="{8DE692B6-8845-B84C-B2E9-768BFF55C772}" name="Period 2" dataDxfId="305">
      <calculatedColumnFormula>SUM(Opening_balance_and_revenue_table_2[Period 2],-Cash_payments_table_2[[#Totals],[Period 2]],Financing_table_2[[#Totals],[Period 2]])</calculatedColumnFormula>
    </tableColumn>
    <tableColumn id="5" xr3:uid="{21B83108-5C9F-284B-98C9-026AE8157710}" name="Period 3" dataDxfId="304">
      <calculatedColumnFormula>SUM(Opening_balance_and_revenue_table_2[Period 3],-Cash_payments_table_2[[#Totals],[Period 3]],Financing_table_2[[#Totals],[Period 3]])</calculatedColumnFormula>
    </tableColumn>
    <tableColumn id="6" xr3:uid="{1EC5710E-3006-E541-BF8A-C12A93FFE87D}" name="Period 4" dataDxfId="303">
      <calculatedColumnFormula>SUM(Opening_balance_and_revenue_table_2[Period 4],-Cash_payments_table_2[[#Totals],[Period 4]],Financing_table_2[[#Totals],[Period 4]])</calculatedColumnFormula>
    </tableColumn>
    <tableColumn id="7" xr3:uid="{69382C2C-0181-F245-BE0A-5D89A7CED742}" name="Period 5" dataDxfId="302">
      <calculatedColumnFormula>SUM(Opening_balance_and_revenue_table_2[Period 5],-Cash_payments_table_2[[#Totals],[Period 5]],Financing_table_2[[#Totals],[Period 5]])</calculatedColumnFormula>
    </tableColumn>
    <tableColumn id="8" xr3:uid="{F0AA41E8-3D96-3148-B62F-B2C9C3E20A31}" name="Period 6" dataDxfId="301">
      <calculatedColumnFormula>SUM(Opening_balance_and_revenue_table_2[Period 6],-Cash_payments_table_2[[#Totals],[Period 6]],Financing_table_2[[#Totals],[Period 6]])</calculatedColumnFormula>
    </tableColumn>
    <tableColumn id="9" xr3:uid="{831C890F-97C5-4B42-938D-A8557EFFE467}" name="Period 7" dataDxfId="300">
      <calculatedColumnFormula>SUM(Opening_balance_and_revenue_table_2[Period 7],-Cash_payments_table_2[[#Totals],[Period 7]],Financing_table_2[[#Totals],[Period 7]])</calculatedColumnFormula>
    </tableColumn>
    <tableColumn id="10" xr3:uid="{C37C76DC-FF4E-FD48-ABDA-4724D77C21CF}" name="Period 8" dataDxfId="299">
      <calculatedColumnFormula>SUM(Opening_balance_and_revenue_table_2[Period 8],-Cash_payments_table_2[[#Totals],[Period 8]],Financing_table_2[[#Totals],[Period 8]])</calculatedColumnFormula>
    </tableColumn>
    <tableColumn id="11" xr3:uid="{589A8677-6333-D144-9597-C670CCA7BB57}" name="Period 9" dataDxfId="298">
      <calculatedColumnFormula>SUM(Opening_balance_and_revenue_table_2[Period 9],-Cash_payments_table_2[[#Totals],[Period 9]],Financing_table_2[[#Totals],[Period 9]])</calculatedColumnFormula>
    </tableColumn>
    <tableColumn id="12" xr3:uid="{2A5FE41A-D430-B24F-A148-C1CCE8AFF969}" name="Period 10" dataDxfId="297">
      <calculatedColumnFormula>SUM(Opening_balance_and_revenue_table_2[Period 10],-Cash_payments_table_2[[#Totals],[Period 10]],Financing_table_2[[#Totals],[Period 10]])</calculatedColumnFormula>
    </tableColumn>
    <tableColumn id="13" xr3:uid="{75156DAA-EBEF-E24C-9585-42B485EB7A14}" name="Period 11" dataDxfId="296">
      <calculatedColumnFormula>SUM(Opening_balance_and_revenue_table_2[Period 11],-Cash_payments_table_2[[#Totals],[Period 11]],Financing_table_2[[#Totals],[Period 11]])</calculatedColumnFormula>
    </tableColumn>
    <tableColumn id="14" xr3:uid="{70EBE01E-8733-D34D-9370-571A249EC27B}" name="Period 12" dataDxfId="295">
      <calculatedColumnFormula>SUM(Opening_balance_and_revenue_table_2[Period 12],-Cash_payments_table_2[[#Totals],[Period 12]],Financing_table_2[[#Totals],[Period 12]])</calculatedColumnFormula>
    </tableColumn>
    <tableColumn id="15" xr3:uid="{5F525243-09C1-DD40-9984-DE5A175EAAEB}" name="Total" dataDxfId="294">
      <calculatedColumnFormula>SUM(Liquidity_table_2[[#This Row],[Period 1]:[Period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EBFD3C76-97AD-7840-ABA2-E4FDAD99CF94}" name="Financing_table_2" displayName="Financing_table_2" comment="The financing of each period of the second year. Loan repayments and owner's personal withdrawals are excluded." ref="A33:N40" totalsRowCount="1" headerRowDxfId="293" dataDxfId="291" totalsRowDxfId="289" headerRowBorderDxfId="292" tableBorderDxfId="290" totalsRowBorderDxfId="288">
  <autoFilter ref="A33:N39"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D28A52C2-6CC9-0F4D-A079-984C77EB7621}" name="Financing" totalsRowLabel="Total financing" dataDxfId="287" totalsRowDxfId="286"/>
    <tableColumn id="3" xr3:uid="{55D0E558-8A87-3A4D-8905-47ACBD581051}" name="Period 1" totalsRowFunction="custom" dataDxfId="285" totalsRowDxfId="284">
      <totalsRowFormula>SUM(-B34,B35:B36,-B37,B38:B39)</totalsRowFormula>
    </tableColumn>
    <tableColumn id="4" xr3:uid="{CE0F266B-24B8-9D4A-AD40-0C9EE4269BB0}" name="Period 2" totalsRowFunction="custom" dataDxfId="283" totalsRowDxfId="282">
      <totalsRowFormula>SUM(-C34,C35:C36,-C37,C38:C39)</totalsRowFormula>
    </tableColumn>
    <tableColumn id="5" xr3:uid="{D0904FBC-28D8-0A44-A0CE-E3C704B2A3C1}" name="Period 3" totalsRowFunction="custom" dataDxfId="281" totalsRowDxfId="280">
      <totalsRowFormula>SUM(-D34,D35:D36,-D37,D38:D39)</totalsRowFormula>
    </tableColumn>
    <tableColumn id="6" xr3:uid="{D2A237E6-6E74-F742-8CD3-902B3DBC93A8}" name="Period 4" totalsRowFunction="custom" dataDxfId="279" totalsRowDxfId="278">
      <totalsRowFormula>SUM(-E34,E35:E36,-E37,E38:E39)</totalsRowFormula>
    </tableColumn>
    <tableColumn id="7" xr3:uid="{BF6B7E7F-E6FC-CE4A-946B-BA524C416A22}" name="Period 5" totalsRowFunction="custom" dataDxfId="277" totalsRowDxfId="276">
      <totalsRowFormula>SUM(-F34,F35:F36,-F37,F38:F39)</totalsRowFormula>
    </tableColumn>
    <tableColumn id="8" xr3:uid="{9A20DB66-F48B-B64C-A708-5B3F0C619061}" name="Period 6" totalsRowFunction="custom" dataDxfId="275" totalsRowDxfId="274">
      <totalsRowFormula>SUM(-G34,G35:G36,-G37,G38:G39)</totalsRowFormula>
    </tableColumn>
    <tableColumn id="9" xr3:uid="{40DF4D30-E62E-D243-82F5-0141104F96EE}" name="Period 7" totalsRowFunction="custom" dataDxfId="273" totalsRowDxfId="272">
      <totalsRowFormula>SUM(-H34,H35:H36,-H37,H38:H39)</totalsRowFormula>
    </tableColumn>
    <tableColumn id="10" xr3:uid="{86CA4A65-CBE5-6447-ACD2-A632A276AF34}" name="Period 8" totalsRowFunction="custom" dataDxfId="271" totalsRowDxfId="270">
      <totalsRowFormula>SUM(-I34,I35:I36,-I37,I38:I39)</totalsRowFormula>
    </tableColumn>
    <tableColumn id="11" xr3:uid="{A2E15955-6FA2-0B45-9F18-B82EA8392859}" name="Period 9" totalsRowFunction="custom" dataDxfId="269" totalsRowDxfId="268">
      <totalsRowFormula>SUM(-J34,J35:J36,-J37,J38:J39)</totalsRowFormula>
    </tableColumn>
    <tableColumn id="12" xr3:uid="{E93C7DD0-EE48-0347-A543-62185CE5F0A2}" name="Period 10" totalsRowFunction="custom" dataDxfId="267" totalsRowDxfId="266">
      <totalsRowFormula>SUM(-K34,K35:K36,-K37,K38:K39)</totalsRowFormula>
    </tableColumn>
    <tableColumn id="13" xr3:uid="{9C3214BA-11A8-6847-8DBB-28479EB78480}" name="Period 11" totalsRowFunction="custom" dataDxfId="265" totalsRowDxfId="264">
      <totalsRowFormula>SUM(-L34,L35:L36,-L37,L38:L39)</totalsRowFormula>
    </tableColumn>
    <tableColumn id="14" xr3:uid="{E1729BEB-09E0-9F4E-B0EA-2F7B9F99AE35}" name="Period 12" totalsRowFunction="custom" dataDxfId="263" totalsRowDxfId="262">
      <totalsRowFormula>SUM(-M34,M35:M36,-M37,M38:M39)</totalsRowFormula>
    </tableColumn>
    <tableColumn id="15" xr3:uid="{9FE6A349-7A0F-0C48-B1A5-6820D072B6F2}" name="Total" totalsRowFunction="custom" dataDxfId="261" totalsRowDxfId="260">
      <calculatedColumnFormula>SUM(Financing_table_2[[#This Row],[Period 1]:[Period 12]])</calculatedColumnFormula>
      <totalsRowFormula>SUM(Financing_table_2[[#Totals],[Period 1]:[Period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3F4787A9-9921-AF49-8D13-BADD5E2CD57C}" name="Instructions_for_the_cash_flow_calculation_2" displayName="Instructions_for_the_cash_flow_calculation_2" comment="Instructions for the cash flow calculation of the second year." ref="A44:A45" totalsRowShown="0" headerRowDxfId="259" dataDxfId="257" headerRowBorderDxfId="258" tableBorderDxfId="256" totalsRowBorderDxfId="255">
  <autoFilter ref="A44:A45" xr:uid="{FE437FF9-D5FB-684A-AAC0-0E054B3277B7}">
    <filterColumn colId="0" hiddenButton="1"/>
  </autoFilter>
  <tableColumns count="1">
    <tableColumn id="1" xr3:uid="{DA240912-0C0B-0047-8B7C-D5B660F82F2E}" name="Instructions for the cash flow calculation:" dataDxfId="254"/>
  </tableColumns>
  <tableStyleInfo name="Helsinki_taulukko_tyyli"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34D4B60-6F36-024C-9309-534468195DD4}" name="Difference_between_sources_of_funds_and_the_need_for_funds" displayName="Difference_between_sources_of_funds_and_the_need_for_funds" comment="Investment calculation's difference between sources of funds and the need for funds. The sources of funds and the need for funds must match." ref="A50:C51" totalsRowShown="0" headerRowDxfId="783" dataDxfId="781" headerRowBorderDxfId="782" tableBorderDxfId="780" totalsRowBorderDxfId="779">
  <autoFilter ref="A50:C51" xr:uid="{834D4B60-6F36-024C-9309-534468195DD4}">
    <filterColumn colId="0" hiddenButton="1"/>
    <filterColumn colId="1" hiddenButton="1"/>
    <filterColumn colId="2" hiddenButton="1"/>
  </autoFilter>
  <tableColumns count="3">
    <tableColumn id="1" xr3:uid="{6C1F4597-C08B-F54D-BEA4-E9BEA637A95F}" name="The difference between sources of funds and _x000a_the need for funds" dataDxfId="778"/>
    <tableColumn id="2" xr3:uid="{88E15433-18F2-2047-9342-0B7BB13F9352}" name="€" dataDxfId="777">
      <calculatedColumnFormula>Sources_of_funds_table[[#Totals],[€]]-Need_for_funds_table[[#Totals],[€]]</calculatedColumnFormula>
    </tableColumn>
    <tableColumn id="3" xr3:uid="{AEF47A0C-2C54-E14A-B15A-2BB59D297C43}" name="Is your need for funds equal to _x000a_your source of funds?" dataDxfId="776">
      <calculatedColumnFormula>IF(Difference_between_sources_of_funds_and_the_need_for_funds[[#This Row],[€]]=0,"CORRECT","CHECK YOUR CALCULATION!")</calculatedColumnFormula>
    </tableColumn>
  </tableColumns>
  <tableStyleInfo name="Helsinki_taulukko_tyyli" showFirstColumn="1" showLastColumn="0" showRowStripes="0" showColumnStripes="0"/>
  <extLst>
    <ext xmlns:x14="http://schemas.microsoft.com/office/spreadsheetml/2009/9/main" uri="{504A1905-F514-4f6f-8877-14C23A59335A}">
      <x14:table altTextSummary="Rahan lähteiden ja rahan tarpeiden erotus -taulukko"/>
    </ext>
  </extLst>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108C29C-0A29-6340-A2D1-C7265725AC87}" name="Cash_payments_VAT_table_2" displayName="Cash_payments_VAT_table_2" comment="The cash payments (including VAT) of each period of the second year." ref="A18:N21" headerRowDxfId="253" dataDxfId="251" totalsRowDxfId="249" headerRowBorderDxfId="252" tableBorderDxfId="250" totalsRowBorderDxfId="248">
  <autoFilter ref="A18:N21"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52C83BD2-838B-A948-B945-6E2E9C43B81E}" name="Cash payments (including VAT)" totalsRowLabel="Total" dataDxfId="247" totalsRowDxfId="246"/>
    <tableColumn id="3" xr3:uid="{A09236CD-3417-1A42-AB4F-6BBB397F38A9}" name="Period 1" dataDxfId="245" totalsRowDxfId="244">
      <calculatedColumnFormula>SUM(Opening_balance_table_2[Period 1],Cash_receipts_table_2[[#Totals],[Period 1]])</calculatedColumnFormula>
    </tableColumn>
    <tableColumn id="4" xr3:uid="{4BF68D3E-457A-4548-BC7A-B4968A9B0E7F}" name="Period 2" dataDxfId="243" totalsRowDxfId="242">
      <calculatedColumnFormula>SUM(Opening_balance_table_2[Period 2],Cash_receipts_table_2[[#Totals],[Period 2]])</calculatedColumnFormula>
    </tableColumn>
    <tableColumn id="5" xr3:uid="{CA77AAD2-C730-9C4B-8B26-A95511D590D7}" name="Period 3" dataDxfId="241" totalsRowDxfId="240">
      <calculatedColumnFormula>SUM(Opening_balance_table_2[Period 3],Cash_receipts_table_2[[#Totals],[Period 3]])</calculatedColumnFormula>
    </tableColumn>
    <tableColumn id="6" xr3:uid="{5DD6A0B3-C7D7-6846-A2DD-F3DF87B69DAB}" name="Period 4" dataDxfId="239" totalsRowDxfId="238">
      <calculatedColumnFormula>SUM(Opening_balance_table_2[Period 4],Cash_receipts_table_2[[#Totals],[Period 4]])</calculatedColumnFormula>
    </tableColumn>
    <tableColumn id="7" xr3:uid="{56ABD288-7376-894D-8A56-4785E2CF6846}" name="Period 5" dataDxfId="237" totalsRowDxfId="236">
      <calculatedColumnFormula>SUM(Opening_balance_table_2[Period 5],Cash_receipts_table_2[[#Totals],[Period 5]])</calculatedColumnFormula>
    </tableColumn>
    <tableColumn id="8" xr3:uid="{BBBC3127-47A9-1D41-BFBC-289BD14B1F03}" name="Period 6" dataDxfId="235" totalsRowDxfId="234">
      <calculatedColumnFormula>SUM(Opening_balance_table_2[Period 6],Cash_receipts_table_2[[#Totals],[Period 6]])</calculatedColumnFormula>
    </tableColumn>
    <tableColumn id="9" xr3:uid="{04CEFCD7-5071-6D42-B0D4-476EAA6DDFA4}" name="Period 7" dataDxfId="233" totalsRowDxfId="232">
      <calculatedColumnFormula>SUM(Opening_balance_table_2[Period 7],Cash_receipts_table_2[[#Totals],[Period 7]])</calculatedColumnFormula>
    </tableColumn>
    <tableColumn id="10" xr3:uid="{C96B87DF-36C3-154E-9DEC-AB4DCF02A9C1}" name="Period 8" dataDxfId="231" totalsRowDxfId="230">
      <calculatedColumnFormula>SUM(Opening_balance_table_2[Period 8],Cash_receipts_table_2[[#Totals],[Period 8]])</calculatedColumnFormula>
    </tableColumn>
    <tableColumn id="11" xr3:uid="{EDAFEC45-A8E4-404F-A349-04893D7F22B2}" name="Period 9" dataDxfId="229" totalsRowDxfId="228">
      <calculatedColumnFormula>SUM(Opening_balance_table_2[Period 9],Cash_receipts_table_2[[#Totals],[Period 9]])</calculatedColumnFormula>
    </tableColumn>
    <tableColumn id="12" xr3:uid="{008C408A-7C23-0D43-9873-4A8CB909A119}" name="Period 10" dataDxfId="227" totalsRowDxfId="226">
      <calculatedColumnFormula>SUM(Opening_balance_table_2[Period 10],Cash_receipts_table_2[[#Totals],[Period 10]])</calculatedColumnFormula>
    </tableColumn>
    <tableColumn id="13" xr3:uid="{370F0590-53EB-0242-85B9-76D837683E75}" name="Period 11" dataDxfId="225" totalsRowDxfId="224">
      <calculatedColumnFormula>SUM(Opening_balance_table_2[Period 11],Cash_receipts_table_2[[#Totals],[Period 11]])</calculatedColumnFormula>
    </tableColumn>
    <tableColumn id="14" xr3:uid="{CC69062E-50EF-354B-9AAE-4891D0895D91}" name="Period 12" dataDxfId="223" totalsRowDxfId="222">
      <calculatedColumnFormula>SUM(Opening_balance_table_2[Period 12],Cash_receipts_table_2[[#Totals],[Period 12]])</calculatedColumnFormula>
    </tableColumn>
    <tableColumn id="15" xr3:uid="{E189CF29-33D3-3347-9809-0BCCE37E37B1}" name="Total" totalsRowFunction="sum" dataDxfId="221" totalsRowDxfId="220">
      <calculatedColumnFormula>SUM(Cash_payments_VAT_table_2[[#This Row],[Period 1]:[Period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10B84CFB-AD40-D94A-AFC7-DCC7C17C663B}" name="Cash_receipts_table_3" displayName="Cash_receipts_table_3" comment="Cash receipts of each period of the third year." ref="A10:N15" headerRowDxfId="219" dataDxfId="217" totalsRowDxfId="215" headerRowBorderDxfId="218" tableBorderDxfId="216" totalsRowBorderDxfId="214">
  <autoFilter ref="A10:N15"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4D0E5F56-5937-8D43-ADF5-879789D1A606}" name="Cash receipts, i.e. revenues" totalsRowLabel="Yhteensä" dataDxfId="213" totalsRowDxfId="212"/>
    <tableColumn id="3" xr3:uid="{06F00A30-0C24-CE41-892F-2054AA6B14DB}" name="Period 1" totalsRowFunction="sum" dataDxfId="211" totalsRowDxfId="210"/>
    <tableColumn id="4" xr3:uid="{295330C1-DD6E-8741-A8A4-D421EC1A501C}" name="Period 2" totalsRowFunction="sum" dataDxfId="209" totalsRowDxfId="208"/>
    <tableColumn id="5" xr3:uid="{23B3D5A4-1899-0E4B-B3F7-71112D75151D}" name="Period 3" totalsRowFunction="sum" dataDxfId="207" totalsRowDxfId="206"/>
    <tableColumn id="6" xr3:uid="{6A7B9AFE-4C0D-B048-A8E7-3B48128FF043}" name="Period 4" totalsRowFunction="sum" dataDxfId="205" totalsRowDxfId="204"/>
    <tableColumn id="7" xr3:uid="{327A6C03-3C07-EC4B-8A0D-DB6A8385BE6B}" name="Period 5" totalsRowFunction="sum" dataDxfId="203" totalsRowDxfId="202"/>
    <tableColumn id="8" xr3:uid="{129BCA0E-88EA-A149-8774-C635D64A53DF}" name="Period 6" totalsRowFunction="sum" dataDxfId="201" totalsRowDxfId="200"/>
    <tableColumn id="9" xr3:uid="{68C4FEBC-9851-8644-80B8-7D55E77D0EC3}" name="Period 7" totalsRowFunction="sum" dataDxfId="199" totalsRowDxfId="198"/>
    <tableColumn id="10" xr3:uid="{27374A15-77A3-AC48-906A-D8D474564CF3}" name="Period 8" totalsRowFunction="sum" dataDxfId="197" totalsRowDxfId="196"/>
    <tableColumn id="11" xr3:uid="{CC3ABEAD-6D6B-894E-BE2D-D668396F3ABD}" name="Period 9" totalsRowFunction="sum" dataDxfId="195" totalsRowDxfId="194"/>
    <tableColumn id="12" xr3:uid="{7E5B29C1-A4D9-9E4A-B841-3C912E790828}" name="Period 10" totalsRowFunction="sum" dataDxfId="193" totalsRowDxfId="192"/>
    <tableColumn id="13" xr3:uid="{363DB0E0-96AE-F94C-B7FB-60095C5105CC}" name="Period 11" totalsRowFunction="sum" dataDxfId="191" totalsRowDxfId="190"/>
    <tableColumn id="14" xr3:uid="{644469F1-7058-0540-BB83-9B64889E5200}" name="Period 12" totalsRowFunction="sum" dataDxfId="189" totalsRowDxfId="188"/>
    <tableColumn id="15" xr3:uid="{358B9A48-244B-DD4D-B890-8AAA28377EC6}" name="Total" totalsRowFunction="sum" dataDxfId="187" totalsRowDxfId="186">
      <calculatedColumnFormula>SUM(Cash_receipts_table_3[[#This Row],[Period 1]:[Period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3788C509-8C1E-CC4C-B854-4B6E59304D4D}" name="Cash_payments_table_3" displayName="Cash_payments_table_3" comment="The cash payments (VAT 0%) of each period of the first year." ref="A22:N32" totalsRowCount="1" headerRowDxfId="185" dataDxfId="183" totalsRowDxfId="181" headerRowBorderDxfId="184" tableBorderDxfId="182" totalsRowBorderDxfId="180">
  <autoFilter ref="A22:N31"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B469638-8B94-774C-A39C-50B2E7D0CF1D}" name="Cash payments (VAT 0%)" totalsRowLabel="Total cash payments" dataDxfId="179" totalsRowDxfId="178"/>
    <tableColumn id="3" xr3:uid="{AAEE02B7-8748-F847-9D1C-6CA1DF54B175}" name="Period 1" totalsRowFunction="custom" dataDxfId="177" totalsRowDxfId="176">
      <totalsRowFormula>SUM(Cash_payments_table_3[Period 1],B19,B21)</totalsRowFormula>
    </tableColumn>
    <tableColumn id="4" xr3:uid="{EDBA2AC8-BDC6-A048-8E80-895872F4AE01}" name="Period 2" totalsRowFunction="custom" dataDxfId="175" totalsRowDxfId="174">
      <totalsRowFormula>SUM(Cash_payments_table_3[Period 2],C19,C21)</totalsRowFormula>
    </tableColumn>
    <tableColumn id="5" xr3:uid="{5C34637F-C507-EB4F-8FE3-0426089F8B1A}" name="Period 3" totalsRowFunction="custom" dataDxfId="173" totalsRowDxfId="172">
      <totalsRowFormula>SUM(Cash_payments_table_3[Period 3],D19,D21)</totalsRowFormula>
    </tableColumn>
    <tableColumn id="6" xr3:uid="{709AAEFC-D809-3E4C-ACD7-172B5D0444C5}" name="Period 4" totalsRowFunction="custom" dataDxfId="171" totalsRowDxfId="170">
      <totalsRowFormula>SUM(Cash_payments_table_3[Period 4],E19,E21)</totalsRowFormula>
    </tableColumn>
    <tableColumn id="7" xr3:uid="{E285BF77-98F7-7D4B-8161-B58778069245}" name="Period 5" totalsRowFunction="custom" dataDxfId="169" totalsRowDxfId="168">
      <totalsRowFormula>SUM(Cash_payments_table_3[Period 5],F19,F21)</totalsRowFormula>
    </tableColumn>
    <tableColumn id="8" xr3:uid="{EA54AB74-9E3C-2A4D-9385-6A39AD1F3E1F}" name="Period 6" totalsRowFunction="custom" dataDxfId="167" totalsRowDxfId="166">
      <totalsRowFormula>SUM(Cash_payments_table_3[Period 6],G19,G21)</totalsRowFormula>
    </tableColumn>
    <tableColumn id="9" xr3:uid="{ED9853D9-6471-A347-B27E-CCB8B704DF83}" name="Period 7" totalsRowFunction="custom" dataDxfId="165" totalsRowDxfId="164">
      <totalsRowFormula>SUM(Cash_payments_table_3[Period 7],H19,H21)</totalsRowFormula>
    </tableColumn>
    <tableColumn id="10" xr3:uid="{9E0E5EC5-711E-964E-86E0-6011B81BB9E6}" name="Period 8" totalsRowFunction="custom" dataDxfId="163" totalsRowDxfId="162">
      <totalsRowFormula>SUM(Cash_payments_table_3[Period 8],I19,I21)</totalsRowFormula>
    </tableColumn>
    <tableColumn id="11" xr3:uid="{83433ACB-4425-E74D-8AF6-DA9A417852ED}" name="Period 9" totalsRowFunction="custom" dataDxfId="161" totalsRowDxfId="160">
      <totalsRowFormula>SUM(Cash_payments_table_3[Period 9],J19,J21)</totalsRowFormula>
    </tableColumn>
    <tableColumn id="12" xr3:uid="{1CC892DE-07D7-3142-BA3B-3705275D8BA9}" name="Period 10" totalsRowFunction="custom" dataDxfId="159" totalsRowDxfId="158">
      <totalsRowFormula>SUM(Cash_payments_table_3[Period 10],K19,K21)</totalsRowFormula>
    </tableColumn>
    <tableColumn id="13" xr3:uid="{775CA5CC-B533-3944-B37A-436527A62E03}" name="Period 11" totalsRowFunction="custom" dataDxfId="157" totalsRowDxfId="156">
      <totalsRowFormula>SUM(Cash_payments_table_3[Period 11],L19,L21)</totalsRowFormula>
    </tableColumn>
    <tableColumn id="14" xr3:uid="{4764B4DA-262C-3E4B-88CB-D0B0BCF0B8CB}" name="Period 12" totalsRowFunction="custom" dataDxfId="155" totalsRowDxfId="154">
      <totalsRowFormula>SUM(Cash_payments_table_3[Period 12],M19,M21)</totalsRowFormula>
    </tableColumn>
    <tableColumn id="15" xr3:uid="{B32A6E04-9C68-B746-8E5A-DCADB8BEA43C}" name="Total" totalsRowFunction="custom" dataDxfId="153" totalsRowDxfId="152">
      <calculatedColumnFormula>SUM(Cash_payments_table_3[[#This Row],[Period 1]:[Period 12]])</calculatedColumnFormula>
      <totalsRowFormula>SUM(Cash_payments_table_3[[#Totals],[Period 1]:[Period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A50BEDF1-661B-A147-AAAB-9946952F753F}" name="Opening_table_3" displayName="Opening_table_3" comment="The opening balances of each period of the third year." ref="A8:N9" headerRowDxfId="151" dataDxfId="149" totalsRowDxfId="147" headerRowBorderDxfId="150" tableBorderDxfId="148" totalsRowBorderDxfId="146">
  <autoFilter ref="A8:N9"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958AB5B-BBB7-9743-92F0-0AF5C2B5DB55}" name="Opening balance, i.e. cash reserves at the beginning of the period" totalsRowLabel="Total" dataDxfId="145"/>
    <tableColumn id="3" xr3:uid="{DDD10F66-4501-1D49-87A3-482715A1960B}" name="Period 1" dataDxfId="144">
      <calculatedColumnFormula>'Cash flow calculation (Y2)'!M42</calculatedColumnFormula>
    </tableColumn>
    <tableColumn id="4" xr3:uid="{0E105097-07D3-5540-8059-D966C5B7063F}" name="Period 2" dataDxfId="143">
      <calculatedColumnFormula>B42</calculatedColumnFormula>
    </tableColumn>
    <tableColumn id="5" xr3:uid="{737DA558-789B-7740-AC8B-F16381E7228E}" name="Period 3" dataDxfId="142">
      <calculatedColumnFormula>C42</calculatedColumnFormula>
    </tableColumn>
    <tableColumn id="6" xr3:uid="{14075A6C-8EC5-364C-B988-7353C3A609CC}" name="Period 4" dataDxfId="141">
      <calculatedColumnFormula>D42</calculatedColumnFormula>
    </tableColumn>
    <tableColumn id="7" xr3:uid="{F95A1D11-4D16-E643-833E-F24C498E767E}" name="Period 5" dataDxfId="140">
      <calculatedColumnFormula>E42</calculatedColumnFormula>
    </tableColumn>
    <tableColumn id="8" xr3:uid="{AB94ACA3-2158-0240-A72F-D1EA535ECC4B}" name="Period 6" dataDxfId="139">
      <calculatedColumnFormula>F42</calculatedColumnFormula>
    </tableColumn>
    <tableColumn id="9" xr3:uid="{54DCFC00-C07C-3744-9AFD-2D047A8E616B}" name="Period 7" dataDxfId="138">
      <calculatedColumnFormula>G42</calculatedColumnFormula>
    </tableColumn>
    <tableColumn id="10" xr3:uid="{267406CC-A145-A943-946C-A5EFA0702D44}" name="Period 8" dataDxfId="137">
      <calculatedColumnFormula>H42</calculatedColumnFormula>
    </tableColumn>
    <tableColumn id="11" xr3:uid="{94F4C7F6-2AFA-B44C-B776-35F073CF2599}" name="Period 9" dataDxfId="136">
      <calculatedColumnFormula>I42</calculatedColumnFormula>
    </tableColumn>
    <tableColumn id="12" xr3:uid="{B5728C11-280A-ED45-8F84-24E21308491F}" name="Period 10" dataDxfId="135">
      <calculatedColumnFormula>J42</calculatedColumnFormula>
    </tableColumn>
    <tableColumn id="13" xr3:uid="{27AAE0C3-FA8A-B449-8BE5-6490352D791D}" name="Period 11" dataDxfId="134">
      <calculatedColumnFormula>K42</calculatedColumnFormula>
    </tableColumn>
    <tableColumn id="14" xr3:uid="{58A99DB0-975D-DB42-8283-B7734894FC13}" name="Period 12" dataDxfId="133">
      <calculatedColumnFormula>L42</calculatedColumnFormula>
    </tableColumn>
    <tableColumn id="15" xr3:uid="{71A89A51-E5C1-8240-8B4C-75C8ADC80537}" name="Total" totalsRowFunction="sum" dataDxfId="132"/>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E35653FA-C418-294E-833A-93058592ADD4}" name="Opening_balance_and_revenue_table_3" displayName="Opening_balance_and_revenue_table_3" comment="The opening balance and revenue of each period of the third year." ref="A16:N17" headerRowDxfId="131" dataDxfId="129" totalsRowDxfId="127" headerRowBorderDxfId="130" tableBorderDxfId="128" totalsRowBorderDxfId="126">
  <autoFilter ref="A16:N17"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00678DC-1833-A041-9DD3-F8C18439DEF5}" name="Opening balance and revenue" totalsRowLabel="Total" dataDxfId="125" totalsRowDxfId="124"/>
    <tableColumn id="3" xr3:uid="{1B2E2BE2-5918-FC4D-9C06-B492122650FB}" name="Period 1" dataDxfId="123" totalsRowDxfId="122">
      <calculatedColumnFormula>SUM(Opening_table_3[Period 1],B15)</calculatedColumnFormula>
    </tableColumn>
    <tableColumn id="4" xr3:uid="{C8266F26-3AFB-E44F-8D20-7603A5276EB8}" name="Period 2" dataDxfId="121" totalsRowDxfId="120">
      <calculatedColumnFormula>SUM(Opening_table_3[Period 2],C15)</calculatedColumnFormula>
    </tableColumn>
    <tableColumn id="5" xr3:uid="{1710C0FD-C9D6-A04C-86B1-B5EFB784C14E}" name="Period 3" dataDxfId="119" totalsRowDxfId="118">
      <calculatedColumnFormula>SUM(Opening_table_3[Period 3],D15)</calculatedColumnFormula>
    </tableColumn>
    <tableColumn id="6" xr3:uid="{C658C9C7-C142-984E-B512-00023D415DE2}" name="Period 4" dataDxfId="117" totalsRowDxfId="116">
      <calculatedColumnFormula>SUM(Opening_table_3[Period 4],E15)</calculatedColumnFormula>
    </tableColumn>
    <tableColumn id="7" xr3:uid="{4A5749EF-A539-E644-A1BF-780FB8435690}" name="Period 5" dataDxfId="115" totalsRowDxfId="114">
      <calculatedColumnFormula>SUM(Opening_table_3[Period 5],F15)</calculatedColumnFormula>
    </tableColumn>
    <tableColumn id="8" xr3:uid="{830C6568-49BF-C743-A7A3-7DCF0ABDD663}" name="Period 6" dataDxfId="113" totalsRowDxfId="112">
      <calculatedColumnFormula>SUM(Opening_table_3[Period 6],G15)</calculatedColumnFormula>
    </tableColumn>
    <tableColumn id="9" xr3:uid="{B28E2570-2548-BB48-A817-05AA52E8C6C4}" name="Period 7" dataDxfId="111" totalsRowDxfId="110">
      <calculatedColumnFormula>SUM(Opening_table_3[Period 7],H15)</calculatedColumnFormula>
    </tableColumn>
    <tableColumn id="10" xr3:uid="{0EE84D6E-9159-F543-ACD9-AA5D7D7D8345}" name="Period 8" dataDxfId="109" totalsRowDxfId="108">
      <calculatedColumnFormula>SUM(Opening_table_3[Period 8],I15)</calculatedColumnFormula>
    </tableColumn>
    <tableColumn id="11" xr3:uid="{115D0A0A-464B-D64B-A087-F4225CDB45C2}" name="Period 9" dataDxfId="107" totalsRowDxfId="106">
      <calculatedColumnFormula>SUM(Opening_table_3[Period 9],J15)</calculatedColumnFormula>
    </tableColumn>
    <tableColumn id="12" xr3:uid="{B68A22B7-AA8D-064F-9EC7-EA340B4041BC}" name="Period 10" dataDxfId="105" totalsRowDxfId="104">
      <calculatedColumnFormula>SUM(Opening_table_3[Period 10],K15)</calculatedColumnFormula>
    </tableColumn>
    <tableColumn id="13" xr3:uid="{38952024-4C05-2945-8686-1FE39375B81B}" name="Period 11" dataDxfId="103" totalsRowDxfId="102">
      <calculatedColumnFormula>SUM(Opening_table_3[Period 11],L15)</calculatedColumnFormula>
    </tableColumn>
    <tableColumn id="14" xr3:uid="{E16119D7-A39E-814D-870E-C5D9219F9F87}" name="Period 12" dataDxfId="101" totalsRowDxfId="100">
      <calculatedColumnFormula>SUM(Opening_table_3[Period 12],M15)</calculatedColumnFormula>
    </tableColumn>
    <tableColumn id="15" xr3:uid="{3A545AC6-4DBE-4F4D-8DB5-6321AB64B3AC}" name="Total" totalsRowFunction="sum" dataDxfId="99" totalsRowDxfId="98"/>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8AC07260-3F61-D841-9BEA-69C4BF149FE5}" name="Liquidity_table_3" displayName="Liquidity_table_3" comment="The sum of opening balance, revenues and financing for each period of the third year." ref="A41:N43" totalsRowShown="0" headerRowDxfId="97" dataDxfId="95" headerRowBorderDxfId="96" tableBorderDxfId="94" totalsRowBorderDxfId="93">
  <autoFilter ref="A41:N43"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B190F260-1A6C-DC4C-BD46-F534391EDF91}" name="Liquidity (at the end of the month)" dataDxfId="92"/>
    <tableColumn id="3" xr3:uid="{E3D9386A-661A-D14A-95E7-165AF2D9FB7A}" name="Period 1" dataDxfId="91">
      <calculatedColumnFormula>SUM(Opening_balance_and_revenue_table_3[Period 1],-Cash_payments_table_3[[#Totals],[Period 1]],Financing_table_3[[#Totals],[Period 1]])</calculatedColumnFormula>
    </tableColumn>
    <tableColumn id="4" xr3:uid="{C8E682DC-3B3E-F049-AF9B-7135D5E69C6A}" name="Period 2" dataDxfId="90">
      <calculatedColumnFormula>SUM(Opening_balance_and_revenue_table_3[Period 2],-Cash_payments_table_3[[#Totals],[Period 2]],Financing_table_3[[#Totals],[Period 2]])</calculatedColumnFormula>
    </tableColumn>
    <tableColumn id="5" xr3:uid="{446A992A-A5EB-0043-BC00-3A592089232C}" name="Period 3" dataDxfId="89">
      <calculatedColumnFormula>SUM(Opening_balance_and_revenue_table_3[Period 3],-Cash_payments_table_3[[#Totals],[Period 3]],Financing_table_3[[#Totals],[Period 3]])</calculatedColumnFormula>
    </tableColumn>
    <tableColumn id="6" xr3:uid="{DCDACCA6-7B6A-3B48-A9F2-B22F422C85EB}" name="Period 4" dataDxfId="88">
      <calculatedColumnFormula>SUM(Opening_balance_and_revenue_table_3[Period 4],-Cash_payments_table_3[[#Totals],[Period 4]],Financing_table_3[[#Totals],[Period 4]])</calculatedColumnFormula>
    </tableColumn>
    <tableColumn id="7" xr3:uid="{19B9FE74-459D-9344-BA79-8410126125C3}" name="Period 5" dataDxfId="87">
      <calculatedColumnFormula>SUM(Opening_balance_and_revenue_table_3[Period 5],-Cash_payments_table_3[[#Totals],[Period 5]],Financing_table_3[[#Totals],[Period 5]])</calculatedColumnFormula>
    </tableColumn>
    <tableColumn id="8" xr3:uid="{320D60E5-2F38-6C42-A8BB-035024255131}" name="Period 6" dataDxfId="86">
      <calculatedColumnFormula>SUM(Opening_balance_and_revenue_table_3[Period 6],-Cash_payments_table_3[[#Totals],[Period 6]],Financing_table_3[[#Totals],[Period 6]])</calculatedColumnFormula>
    </tableColumn>
    <tableColumn id="9" xr3:uid="{7FACDEA1-1E71-A742-AF42-3A360B369E33}" name="Period 7" dataDxfId="85">
      <calculatedColumnFormula>SUM(Opening_balance_and_revenue_table_3[Period 7],-Cash_payments_table_3[[#Totals],[Period 7]],Financing_table_3[[#Totals],[Period 7]])</calculatedColumnFormula>
    </tableColumn>
    <tableColumn id="10" xr3:uid="{1EE97AAF-1200-B649-9020-F3138C9BA8B0}" name="Period 8" dataDxfId="84">
      <calculatedColumnFormula>SUM(Opening_balance_and_revenue_table_3[Period 8],-Cash_payments_table_3[[#Totals],[Period 8]],Financing_table_3[[#Totals],[Period 8]])</calculatedColumnFormula>
    </tableColumn>
    <tableColumn id="11" xr3:uid="{C03B7567-6D9C-4145-80E5-5478496DBB92}" name="Period 9" dataDxfId="83">
      <calculatedColumnFormula>SUM(Opening_balance_and_revenue_table_3[Period 9],-Cash_payments_table_3[[#Totals],[Period 9]],Financing_table_3[[#Totals],[Period 9]])</calculatedColumnFormula>
    </tableColumn>
    <tableColumn id="12" xr3:uid="{2303C661-2A71-7E4B-89DA-5DB755E296AA}" name="Period 10" dataDxfId="82">
      <calculatedColumnFormula>SUM(Opening_balance_and_revenue_table_3[Period 10],-Cash_payments_table_3[[#Totals],[Period 10]],Financing_table_3[[#Totals],[Period 10]])</calculatedColumnFormula>
    </tableColumn>
    <tableColumn id="13" xr3:uid="{13409E46-A3E6-EB4F-9FC5-532B8629C273}" name="Period 11" dataDxfId="81">
      <calculatedColumnFormula>SUM(Opening_balance_and_revenue_table_3[Period 11],-Cash_payments_table_3[[#Totals],[Period 11]],Financing_table_3[[#Totals],[Period 11]])</calculatedColumnFormula>
    </tableColumn>
    <tableColumn id="14" xr3:uid="{8968D2E0-144E-694A-A4EE-26FB33CDD74A}" name="Period 12" dataDxfId="80">
      <calculatedColumnFormula>SUM(Opening_balance_and_revenue_table_3[Period 12],-Cash_payments_table_3[[#Totals],[Period 12]],Financing_table_3[[#Totals],[Period 12]])</calculatedColumnFormula>
    </tableColumn>
    <tableColumn id="15" xr3:uid="{F2395275-9132-6140-87EE-4B1B58FB3F90}" name="Total" dataDxfId="79">
      <calculatedColumnFormula>SUM(Liquidity_table_3[[#This Row],[Period 1]:[Period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FF451F4E-5B49-4C45-80D6-89C0035369A8}" name="Financing_table_3" displayName="Financing_table_3" comment="The financing of each period of the third year. Loan repayments and owner's personal withdrawals are excluded." ref="A33:N40" totalsRowCount="1" headerRowDxfId="78" dataDxfId="76" totalsRowDxfId="74" headerRowBorderDxfId="77" tableBorderDxfId="75" totalsRowBorderDxfId="73">
  <autoFilter ref="A33:N39"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A73D5BA-7347-674D-BD7D-324CB2E88636}" name="Financing" totalsRowLabel="Total financing" dataDxfId="72" totalsRowDxfId="71"/>
    <tableColumn id="3" xr3:uid="{E87FE6AB-1330-1441-9F27-4F314E13DD46}" name="Period 1" totalsRowFunction="custom" dataDxfId="70" totalsRowDxfId="69">
      <totalsRowFormula>SUM(-B34,B35:B36,-B37,B38:B39)</totalsRowFormula>
    </tableColumn>
    <tableColumn id="4" xr3:uid="{2E110CDC-E9F4-2844-97A4-EE7509FDF13F}" name="Period 2" totalsRowFunction="custom" dataDxfId="68" totalsRowDxfId="67">
      <totalsRowFormula>SUM(-C34,C35:C36,-C37,C38:C39)</totalsRowFormula>
    </tableColumn>
    <tableColumn id="5" xr3:uid="{6CF6CF01-BA97-6446-9152-DFDF2A585BDB}" name="Period 3" totalsRowFunction="custom" dataDxfId="66" totalsRowDxfId="65">
      <totalsRowFormula>SUM(-D34,D35:D36,-D37,D38:D39)</totalsRowFormula>
    </tableColumn>
    <tableColumn id="6" xr3:uid="{68E1963D-2D4B-954F-B077-B7CFFC79C0E7}" name="Period 4" totalsRowFunction="custom" dataDxfId="64" totalsRowDxfId="63">
      <totalsRowFormula>SUM(-E34,E35:E36,-E37,E38:E39)</totalsRowFormula>
    </tableColumn>
    <tableColumn id="7" xr3:uid="{B1585624-FBEE-224F-9BD4-6F761E9DE55C}" name="Period 5" totalsRowFunction="custom" dataDxfId="62" totalsRowDxfId="61">
      <totalsRowFormula>SUM(-F34,F35:F36,-F37,F38:F39)</totalsRowFormula>
    </tableColumn>
    <tableColumn id="8" xr3:uid="{086C9EF4-619E-EA40-A2E5-1AC9386D5D80}" name="Period 6" totalsRowFunction="custom" dataDxfId="60" totalsRowDxfId="59">
      <totalsRowFormula>SUM(-G34,G35:G36,-G37,G38:G39)</totalsRowFormula>
    </tableColumn>
    <tableColumn id="9" xr3:uid="{E12FCE94-8666-E74B-8C04-988F41810D90}" name="Period 7" totalsRowFunction="custom" dataDxfId="58" totalsRowDxfId="57">
      <totalsRowFormula>SUM(-H34,H35:H36,-H37,H38:H39)</totalsRowFormula>
    </tableColumn>
    <tableColumn id="10" xr3:uid="{A0076D76-AC18-964E-8BC7-EA90529EA00B}" name="Period 8" totalsRowFunction="custom" dataDxfId="56" totalsRowDxfId="55">
      <totalsRowFormula>SUM(-I34,I35:I36,-I37,I38:I39)</totalsRowFormula>
    </tableColumn>
    <tableColumn id="11" xr3:uid="{36715B1F-4768-DF49-B43D-3938C839DE1B}" name="Period 9" totalsRowFunction="custom" dataDxfId="54" totalsRowDxfId="53">
      <totalsRowFormula>SUM(-J34,J35:J36,-J37,J38:J39)</totalsRowFormula>
    </tableColumn>
    <tableColumn id="12" xr3:uid="{E2B7D5B7-1EAA-5E47-9047-7A081339E446}" name="Period 10" totalsRowFunction="custom" dataDxfId="52" totalsRowDxfId="51">
      <totalsRowFormula>SUM(-K34,K35:K36,-K37,K38:K39)</totalsRowFormula>
    </tableColumn>
    <tableColumn id="13" xr3:uid="{FE3B3787-075F-204D-9A0E-B4185C6B0344}" name="Period 11" totalsRowFunction="custom" dataDxfId="50" totalsRowDxfId="49">
      <totalsRowFormula>SUM(-L34,L35:L36,-L37,L38:L39)</totalsRowFormula>
    </tableColumn>
    <tableColumn id="14" xr3:uid="{98FCA6D6-044B-164A-A89F-CCD7FBC066C1}" name="Period 12" totalsRowFunction="custom" dataDxfId="48" totalsRowDxfId="47">
      <totalsRowFormula>SUM(-M34,M35:M36,-M37,M38:M39)</totalsRowFormula>
    </tableColumn>
    <tableColumn id="15" xr3:uid="{328667F5-BFD6-D948-BB7E-EAC04ACC69F9}" name="Total" totalsRowFunction="custom" dataDxfId="46" totalsRowDxfId="45">
      <calculatedColumnFormula>SUM(Financing_table_3[[#This Row],[Period 1]:[Period 12]])</calculatedColumnFormula>
      <totalsRowFormula>SUM(Financing_table_3[[#Totals],[Period 1]:[Period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455B1C88-0D35-DB45-BBDC-E5804FA67934}" name="Instructions_for_the_cash_flow_calculation_3" displayName="Instructions_for_the_cash_flow_calculation_3" comment="Instructions for the cash flow calculation of the first year." ref="A44:A45" totalsRowShown="0" headerRowDxfId="44" dataDxfId="42" headerRowBorderDxfId="43" tableBorderDxfId="41" totalsRowBorderDxfId="40">
  <autoFilter ref="A44:A45" xr:uid="{FE437FF9-D5FB-684A-AAC0-0E054B3277B7}">
    <filterColumn colId="0" hiddenButton="1"/>
  </autoFilter>
  <tableColumns count="1">
    <tableColumn id="1" xr3:uid="{02F321C1-79E9-0042-9F89-819CA099A9B1}" name="Instructions for the cash flow calculation:" dataDxfId="39"/>
  </tableColumns>
  <tableStyleInfo name="Helsinki_taulukko_tyyli" showFirstColumn="0" showLastColumn="0" showRowStripes="0"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90791932-5F80-C545-A120-E3AD767B5368}" name="Cash_payments_VAT_table_3" displayName="Cash_payments_VAT_table_3" comment="The cash payments (including VAT) of each period of the third year." ref="A18:N21" headerRowDxfId="38" dataDxfId="36" totalsRowDxfId="34" headerRowBorderDxfId="37" tableBorderDxfId="35" totalsRowBorderDxfId="33">
  <autoFilter ref="A18:N21"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A261B0A-AD85-4D44-962F-2105710978B6}" name="Cash payments (including VAT)" totalsRowLabel="Total" dataDxfId="32" totalsRowDxfId="31"/>
    <tableColumn id="3" xr3:uid="{F39AF6C5-84DD-1E49-97AC-FD2EFA38B17B}" name="Period 1" dataDxfId="30" totalsRowDxfId="29">
      <calculatedColumnFormula>SUM(Opening_table_3[Period 1],Cash_receipts_table_3[[#Totals],[Period 1]])</calculatedColumnFormula>
    </tableColumn>
    <tableColumn id="4" xr3:uid="{1743D77F-9675-1B48-856D-B9B1345225E2}" name="Period 2" dataDxfId="28" totalsRowDxfId="27">
      <calculatedColumnFormula>SUM(Opening_table_3[Period 2],Cash_receipts_table_3[[#Totals],[Period 2]])</calculatedColumnFormula>
    </tableColumn>
    <tableColumn id="5" xr3:uid="{8C2AC284-2F43-0B44-BF85-704FF421973D}" name="Period 3" dataDxfId="26" totalsRowDxfId="25">
      <calculatedColumnFormula>SUM(Opening_table_3[Period 3],Cash_receipts_table_3[[#Totals],[Period 3]])</calculatedColumnFormula>
    </tableColumn>
    <tableColumn id="6" xr3:uid="{543C54D1-3265-ED48-916B-23FDB3932FD2}" name="Period 4" dataDxfId="24" totalsRowDxfId="23">
      <calculatedColumnFormula>SUM(Opening_table_3[Period 4],Cash_receipts_table_3[[#Totals],[Period 4]])</calculatedColumnFormula>
    </tableColumn>
    <tableColumn id="7" xr3:uid="{1B5D4374-9914-D545-8306-5B6049F8FC71}" name="Period 5" dataDxfId="22" totalsRowDxfId="21">
      <calculatedColumnFormula>SUM(Opening_table_3[Period 5],Cash_receipts_table_3[[#Totals],[Period 5]])</calculatedColumnFormula>
    </tableColumn>
    <tableColumn id="8" xr3:uid="{05E971C1-E3CC-A549-BACF-A01B4C04D0B3}" name="Period 6" dataDxfId="20" totalsRowDxfId="19">
      <calculatedColumnFormula>SUM(Opening_table_3[Period 6],Cash_receipts_table_3[[#Totals],[Period 6]])</calculatedColumnFormula>
    </tableColumn>
    <tableColumn id="9" xr3:uid="{AFCFB52A-B72D-514F-9A4F-3E3CFB8FDC84}" name="Period 7" dataDxfId="18" totalsRowDxfId="17">
      <calculatedColumnFormula>SUM(Opening_table_3[Period 7],Cash_receipts_table_3[[#Totals],[Period 7]])</calculatedColumnFormula>
    </tableColumn>
    <tableColumn id="10" xr3:uid="{1F351567-437E-7F4C-A2C5-41A727BC6643}" name="Period 8" dataDxfId="16" totalsRowDxfId="15">
      <calculatedColumnFormula>SUM(Opening_table_3[Period 8],Cash_receipts_table_3[[#Totals],[Period 8]])</calculatedColumnFormula>
    </tableColumn>
    <tableColumn id="11" xr3:uid="{4D291E9F-90F2-FE4B-9BEC-AD54B465A51D}" name="Period 9" dataDxfId="14" totalsRowDxfId="13">
      <calculatedColumnFormula>SUM(Opening_table_3[Period 9],Cash_receipts_table_3[[#Totals],[Period 9]])</calculatedColumnFormula>
    </tableColumn>
    <tableColumn id="12" xr3:uid="{55886F8C-446E-204E-B58C-1A2338CD1F40}" name="Period 10" dataDxfId="12" totalsRowDxfId="11">
      <calculatedColumnFormula>SUM(Opening_table_3[Period 10],Cash_receipts_table_3[[#Totals],[Period 10]])</calculatedColumnFormula>
    </tableColumn>
    <tableColumn id="13" xr3:uid="{CFBAC12C-1E40-3548-8C89-C654CB310A75}" name="Period 11" dataDxfId="10" totalsRowDxfId="9">
      <calculatedColumnFormula>SUM(Opening_table_3[Period 11],Cash_receipts_table_3[[#Totals],[Period 11]])</calculatedColumnFormula>
    </tableColumn>
    <tableColumn id="14" xr3:uid="{1D47247D-A192-964C-97B4-2DF82B913844}" name="Period 12" dataDxfId="8" totalsRowDxfId="7">
      <calculatedColumnFormula>SUM(Opening_table_3[Period 12],Cash_receipts_table_3[[#Totals],[Period 12]])</calculatedColumnFormula>
    </tableColumn>
    <tableColumn id="15" xr3:uid="{3C3F7111-D7F5-CA48-A6E4-3544478A76F6}" name="Total" totalsRowFunction="sum" dataDxfId="6" totalsRowDxfId="5">
      <calculatedColumnFormula>SUM(Cash_payments_VAT_table_3[[#This Row],[Period 1]:[Period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9CADB9C-2D88-C040-AB64-993877FEAF60}" name="Instructions_for_your_financial_calculation" displayName="Instructions_for_your_financial_calculation" comment="More detailed instructions for how to fill certain cells in the investment calculation tab." ref="A52:A57" totalsRowShown="0" headerRowDxfId="775" dataDxfId="773" headerRowBorderDxfId="774" tableBorderDxfId="772" totalsRowBorderDxfId="771">
  <autoFilter ref="A52:A57" xr:uid="{E9CADB9C-2D88-C040-AB64-993877FEAF60}">
    <filterColumn colId="0" hiddenButton="1"/>
  </autoFilter>
  <tableColumns count="1">
    <tableColumn id="1" xr3:uid="{CD47B5DC-F828-8B4F-B14E-709E3AAA8919}" name="Instructions for your financial calculation:" dataDxfId="770"/>
  </tableColumns>
  <tableStyleInfo name="Helsinki_taulukko_tyyli" showFirstColumn="0" showLastColumn="0" showRowStripes="0" showColumnStripes="0"/>
  <extLst>
    <ext xmlns:x14="http://schemas.microsoft.com/office/spreadsheetml/2009/9/main" uri="{504A1905-F514-4f6f-8877-14C23A59335A}">
      <x14:table altTextSummary="Ohjeet rahoituslaskelmaan"/>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A6FCE55-5C35-C643-A504-45F92E979C29}" name="Target_earnings_table" displayName="Target_earnings_table" comment="Profitability calculation's target earnings per month and year." ref="A5:C12" headerRowDxfId="769" dataDxfId="767" totalsRowDxfId="765" headerRowBorderDxfId="768" tableBorderDxfId="766" totalsRowBorderDxfId="764">
  <autoFilter ref="A5:C12" xr:uid="{7A6FCE55-5C35-C643-A504-45F92E979C29}">
    <filterColumn colId="0" hiddenButton="1"/>
    <filterColumn colId="1" hiddenButton="1"/>
    <filterColumn colId="2" hiddenButton="1"/>
  </autoFilter>
  <tableColumns count="3">
    <tableColumn id="1" xr3:uid="{38C68C15-9D64-E144-90AB-284B3348943A}" name="Target earnings" totalsRowLabel="Total" dataDxfId="763"/>
    <tableColumn id="4" xr3:uid="{5653B8D0-2C66-A649-9C32-FD76156654D6}" name="Per month" dataDxfId="762"/>
    <tableColumn id="5" xr3:uid="{6B8801B9-C3EC-DE4D-9978-02D5021D89DF}" name="Per year (12 months)" totalsRowFunction="sum" dataDxfId="761"/>
  </tableColumns>
  <tableStyleInfo name="Helsinki_taulukko_tyyli" showFirstColumn="1" showLastColumn="0" showRowStripes="0" showColumnStripes="0"/>
  <extLst>
    <ext xmlns:x14="http://schemas.microsoft.com/office/spreadsheetml/2009/9/main" uri="{504A1905-F514-4f6f-8877-14C23A59335A}">
      <x14:table altTextSummary="Tavoitetulos -taulukko"/>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CBC8DE5-4FDC-CB40-9ED0-984DCFC61F86}" name="Fixed_business_expenses_table" displayName="Fixed_business_expenses_table" comment="Profitability calculation's fixed business expenses (excluding value added tax) per month and year." ref="A13:C33" totalsRowShown="0" headerRowDxfId="760" dataDxfId="758" headerRowBorderDxfId="759" tableBorderDxfId="757" totalsRowBorderDxfId="756">
  <autoFilter ref="A13:C33" xr:uid="{FCBC8DE5-4FDC-CB40-9ED0-984DCFC61F86}">
    <filterColumn colId="0" hiddenButton="1"/>
    <filterColumn colId="1" hiddenButton="1"/>
    <filterColumn colId="2" hiddenButton="1"/>
  </autoFilter>
  <tableColumns count="3">
    <tableColumn id="1" xr3:uid="{851A68FC-A92B-B94E-8643-45F91EDE65FB}" name="Fixed business expenses (excluding value added tax)" dataDxfId="755"/>
    <tableColumn id="4" xr3:uid="{5E61CACF-432B-0E43-8609-3B0ADBB7814B}" name="Per month" dataDxfId="754"/>
    <tableColumn id="5" xr3:uid="{52F8FD8D-CDE2-7F4D-8B24-F81AB9F36DE9}" name="Per year (12 months)" dataDxfId="753"/>
  </tableColumns>
  <tableStyleInfo name="Helsinki_taulukko_tyyli" showFirstColumn="1" showLastColumn="0" showRowStripes="0" showColumnStripes="0"/>
  <extLst>
    <ext xmlns:x14="http://schemas.microsoft.com/office/spreadsheetml/2009/9/main" uri="{504A1905-F514-4f6f-8877-14C23A59335A}">
      <x14:table altTextSummary="Yritystoiminnan kiinteät kulut -taulukko"/>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D00DC61-E70C-C54A-9C8E-6D313A028C11}" name="Required_sales_margin_table" displayName="Required_sales_margin_table" comment="Profitability calculation's required sales margin per month and year." ref="A34:C37" headerRowDxfId="752" dataDxfId="750" totalsRowDxfId="748" headerRowBorderDxfId="751" tableBorderDxfId="749" totalsRowBorderDxfId="747">
  <autoFilter ref="A34:C37" xr:uid="{BD00DC61-E70C-C54A-9C8E-6D313A028C11}">
    <filterColumn colId="0" hiddenButton="1"/>
    <filterColumn colId="1" hiddenButton="1"/>
    <filterColumn colId="2" hiddenButton="1"/>
  </autoFilter>
  <tableColumns count="3">
    <tableColumn id="1" xr3:uid="{67D1C0D4-8178-854F-94F3-E055A5983155}" name="Required sales margin (target earnings and fixed costs in total)" totalsRowLabel="Total" dataDxfId="746"/>
    <tableColumn id="4" xr3:uid="{07F973AA-9A79-6F4F-85C2-5C922602985C}" name="Per month" dataDxfId="745"/>
    <tableColumn id="5" xr3:uid="{986A3455-6F01-7B4E-910B-0D71358D06BC}" name="Per year (12 months)" totalsRowFunction="sum" dataDxfId="744"/>
  </tableColumns>
  <tableStyleInfo name="Helsinki_taulukko_tyyli" showFirstColumn="1" showLastColumn="0" showRowStripes="0" showColumnStripes="0"/>
  <extLst>
    <ext xmlns:x14="http://schemas.microsoft.com/office/spreadsheetml/2009/9/main" uri="{504A1905-F514-4f6f-8877-14C23A59335A}">
      <x14:table altTextSummary="Myyntikatetarve -taulukko"/>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1B9F9A50-7057-014A-9DA1-72291C537B5F}" name="Three_year_profit_and_loss_table" displayName="Three_year_profit_and_loss_table" comment="Profitability calculation's three-year profit and loss calculation." ref="A46:D61" headerRowDxfId="743" dataDxfId="741" totalsRowDxfId="739" headerRowBorderDxfId="742" tableBorderDxfId="740" totalsRowBorderDxfId="738">
  <autoFilter ref="A46:D61" xr:uid="{1B9F9A50-7057-014A-9DA1-72291C537B5F}">
    <filterColumn colId="0" hiddenButton="1"/>
    <filterColumn colId="1" hiddenButton="1"/>
    <filterColumn colId="2" hiddenButton="1"/>
    <filterColumn colId="3" hiddenButton="1"/>
  </autoFilter>
  <tableColumns count="4">
    <tableColumn id="1" xr3:uid="{5BBB8ED4-16FA-3442-BCCC-C78E5F245C22}" name="Profit and loss calculation for three years" totalsRowLabel="Total" dataDxfId="737"/>
    <tableColumn id="2" xr3:uid="{44807215-9A09-0748-A08B-10EAEBCBE86E}" name="vuosi +1" dataDxfId="736"/>
    <tableColumn id="3" xr3:uid="{3E45B337-5143-9C4C-9795-B17F9273B046}" name="vuosi +2" dataDxfId="735"/>
    <tableColumn id="4" xr3:uid="{243898B3-5CBD-7040-8C2A-4CE02F4A744F}" name="vuosi +3" totalsRowFunction="sum" dataDxfId="734"/>
  </tableColumns>
  <tableStyleInfo name="Helsinki_taulukko_tyyli" showFirstColumn="1" showLastColumn="0" showRowStripes="1" showColumnStripes="0"/>
  <extLst>
    <ext xmlns:x14="http://schemas.microsoft.com/office/spreadsheetml/2009/9/main" uri="{504A1905-F514-4f6f-8877-14C23A59335A}">
      <x14:table altTextSummary="Kolmen vuoden tuloslaskelma -taulukko"/>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49ED3CF-6461-2C4C-86D5-F5F66013FFD3}" name="Minimum_required_sales_margin_table" displayName="Minimum_required_sales_margin_table" comment="Profitability calculation's minimum required sales margin per month and year." ref="A38:C42" totalsRowShown="0" headerRowDxfId="733" dataDxfId="731" headerRowBorderDxfId="732" tableBorderDxfId="730" totalsRowBorderDxfId="729">
  <autoFilter ref="A38:C42" xr:uid="{B49ED3CF-6461-2C4C-86D5-F5F66013FFD3}">
    <filterColumn colId="0" hiddenButton="1"/>
    <filterColumn colId="1" hiddenButton="1"/>
    <filterColumn colId="2" hiddenButton="1"/>
  </autoFilter>
  <tableColumns count="3">
    <tableColumn id="1" xr3:uid="{55A67C48-E109-D74A-AB25-26EB86F2FF76}" name="Required sales margin (minimum)" dataDxfId="728"/>
    <tableColumn id="3" xr3:uid="{4A2EFDFD-74DF-F042-A1D9-B7D8A6AF7987}" name="Without tax _x000a_per year" dataDxfId="727"/>
    <tableColumn id="4" xr3:uid="{A2C91E1B-CC3D-0F46-8950-2C625522099E}" name="Includes value _x000a_added tax" dataDxfId="726"/>
  </tableColumns>
  <tableStyleInfo name="Helsinki_taulukko_tyyli" showFirstColumn="1" showLastColumn="0" showRowStripes="0" showColumnStripes="0"/>
  <extLst>
    <ext xmlns:x14="http://schemas.microsoft.com/office/spreadsheetml/2009/9/main" uri="{504A1905-F514-4f6f-8877-14C23A59335A}">
      <x14:table altTextSummary="Laskutustavoite -taulukko"/>
    </ext>
  </extLst>
</table>
</file>

<file path=xl/theme/theme1.xml><?xml version="1.0" encoding="utf-8"?>
<a:theme xmlns:a="http://schemas.openxmlformats.org/drawingml/2006/main" name="Office 2013 – 2022 -te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117DFDA1-056B-4544-B750-72CB3E213EE0}">
  <we:reference id="df76232d-21a6-4463-9d19-0518ac5aab5d" version="1.1.0.0" store="EXCatalog" storeType="EXCatalog"/>
  <we:alternateReferences>
    <we:reference id="WA200000556" version="1.1.0.0" store="" storeType="OMEX"/>
  </we:alternateReferences>
  <we:properties>
    <we:property name="Office.AutoShowTaskpaneWithDocument" value="true"/>
    <we:property name="documentId" value="&quot;faf5d975-0b05-41bd-b279-7713bf4144c8&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7"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vmlDrawing" Target="../drawings/vmlDrawing2.vml"/><Relationship Id="rId7" Type="http://schemas.openxmlformats.org/officeDocument/2006/relationships/table" Target="../tables/table8.xml"/><Relationship Id="rId2" Type="http://schemas.openxmlformats.org/officeDocument/2006/relationships/drawing" Target="../drawings/drawing2.xml"/><Relationship Id="rId1" Type="http://schemas.openxmlformats.org/officeDocument/2006/relationships/hyperlink" Target="https://www.vero.fi/en/individuals/tax-cards-and-tax-returns/tax_card/tax-rate-and-income-ceiling/tax-percentage-calculator/" TargetMode="External"/><Relationship Id="rId6" Type="http://schemas.openxmlformats.org/officeDocument/2006/relationships/table" Target="../tables/table7.xml"/><Relationship Id="rId11" Type="http://schemas.openxmlformats.org/officeDocument/2006/relationships/comments" Target="../comments2.xml"/><Relationship Id="rId5" Type="http://schemas.openxmlformats.org/officeDocument/2006/relationships/table" Target="../tables/table6.xml"/><Relationship Id="rId10" Type="http://schemas.openxmlformats.org/officeDocument/2006/relationships/table" Target="../tables/table11.xml"/><Relationship Id="rId4" Type="http://schemas.openxmlformats.org/officeDocument/2006/relationships/table" Target="../tables/table5.xml"/><Relationship Id="rId9" Type="http://schemas.openxmlformats.org/officeDocument/2006/relationships/table" Target="../tables/table10.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vmlDrawing" Target="../drawings/vmlDrawing3.vml"/><Relationship Id="rId1" Type="http://schemas.openxmlformats.org/officeDocument/2006/relationships/drawing" Target="../drawings/drawing3.xml"/><Relationship Id="rId6" Type="http://schemas.openxmlformats.org/officeDocument/2006/relationships/comments" Target="../comments3.xml"/><Relationship Id="rId5" Type="http://schemas.openxmlformats.org/officeDocument/2006/relationships/table" Target="../tables/table14.xml"/><Relationship Id="rId4" Type="http://schemas.openxmlformats.org/officeDocument/2006/relationships/table" Target="../tables/table13.xml"/></Relationships>
</file>

<file path=xl/worksheets/_rels/sheet4.xml.rels><?xml version="1.0" encoding="UTF-8" standalone="yes"?>
<Relationships xmlns="http://schemas.openxmlformats.org/package/2006/relationships"><Relationship Id="rId8" Type="http://schemas.openxmlformats.org/officeDocument/2006/relationships/table" Target="../tables/table20.xml"/><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vmlDrawing" Target="../drawings/vmlDrawing4.vml"/><Relationship Id="rId1" Type="http://schemas.openxmlformats.org/officeDocument/2006/relationships/drawing" Target="../drawings/drawing4.xml"/><Relationship Id="rId6" Type="http://schemas.openxmlformats.org/officeDocument/2006/relationships/table" Target="../tables/table18.xml"/><Relationship Id="rId11" Type="http://schemas.openxmlformats.org/officeDocument/2006/relationships/comments" Target="../comments4.xml"/><Relationship Id="rId5" Type="http://schemas.openxmlformats.org/officeDocument/2006/relationships/table" Target="../tables/table1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s>
</file>

<file path=xl/worksheets/_rels/sheet5.xml.rels><?xml version="1.0" encoding="UTF-8" standalone="yes"?>
<Relationships xmlns="http://schemas.openxmlformats.org/package/2006/relationships"><Relationship Id="rId8" Type="http://schemas.openxmlformats.org/officeDocument/2006/relationships/table" Target="../tables/table28.xml"/><Relationship Id="rId3" Type="http://schemas.openxmlformats.org/officeDocument/2006/relationships/table" Target="../tables/table23.xml"/><Relationship Id="rId7" Type="http://schemas.openxmlformats.org/officeDocument/2006/relationships/table" Target="../tables/table27.xml"/><Relationship Id="rId2" Type="http://schemas.openxmlformats.org/officeDocument/2006/relationships/vmlDrawing" Target="../drawings/vmlDrawing5.vml"/><Relationship Id="rId1" Type="http://schemas.openxmlformats.org/officeDocument/2006/relationships/drawing" Target="../drawings/drawing5.xml"/><Relationship Id="rId6" Type="http://schemas.openxmlformats.org/officeDocument/2006/relationships/table" Target="../tables/table26.xml"/><Relationship Id="rId11" Type="http://schemas.openxmlformats.org/officeDocument/2006/relationships/comments" Target="../comments5.xml"/><Relationship Id="rId5" Type="http://schemas.openxmlformats.org/officeDocument/2006/relationships/table" Target="../tables/table25.xml"/><Relationship Id="rId10" Type="http://schemas.openxmlformats.org/officeDocument/2006/relationships/table" Target="../tables/table30.xml"/><Relationship Id="rId4" Type="http://schemas.openxmlformats.org/officeDocument/2006/relationships/table" Target="../tables/table24.xml"/><Relationship Id="rId9" Type="http://schemas.openxmlformats.org/officeDocument/2006/relationships/table" Target="../tables/table29.xml"/></Relationships>
</file>

<file path=xl/worksheets/_rels/sheet6.xml.rels><?xml version="1.0" encoding="UTF-8" standalone="yes"?>
<Relationships xmlns="http://schemas.openxmlformats.org/package/2006/relationships"><Relationship Id="rId8" Type="http://schemas.openxmlformats.org/officeDocument/2006/relationships/table" Target="../tables/table36.xml"/><Relationship Id="rId3" Type="http://schemas.openxmlformats.org/officeDocument/2006/relationships/table" Target="../tables/table31.xml"/><Relationship Id="rId7" Type="http://schemas.openxmlformats.org/officeDocument/2006/relationships/table" Target="../tables/table35.xml"/><Relationship Id="rId2" Type="http://schemas.openxmlformats.org/officeDocument/2006/relationships/vmlDrawing" Target="../drawings/vmlDrawing6.vml"/><Relationship Id="rId1" Type="http://schemas.openxmlformats.org/officeDocument/2006/relationships/drawing" Target="../drawings/drawing6.xml"/><Relationship Id="rId6" Type="http://schemas.openxmlformats.org/officeDocument/2006/relationships/table" Target="../tables/table34.xml"/><Relationship Id="rId11" Type="http://schemas.openxmlformats.org/officeDocument/2006/relationships/comments" Target="../comments6.xml"/><Relationship Id="rId5" Type="http://schemas.openxmlformats.org/officeDocument/2006/relationships/table" Target="../tables/table33.xml"/><Relationship Id="rId10" Type="http://schemas.openxmlformats.org/officeDocument/2006/relationships/table" Target="../tables/table38.xml"/><Relationship Id="rId4" Type="http://schemas.openxmlformats.org/officeDocument/2006/relationships/table" Target="../tables/table32.xml"/><Relationship Id="rId9" Type="http://schemas.openxmlformats.org/officeDocument/2006/relationships/table" Target="../tables/table3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6F788-AEE9-1247-88AF-6AEBE226BAC3}">
  <dimension ref="A1:N63"/>
  <sheetViews>
    <sheetView tabSelected="1" workbookViewId="0">
      <selection activeCell="F6" sqref="F6"/>
    </sheetView>
  </sheetViews>
  <sheetFormatPr defaultColWidth="10.875" defaultRowHeight="18" x14ac:dyDescent="0.25"/>
  <cols>
    <col min="1" max="1" width="68.875" style="7" customWidth="1"/>
    <col min="2" max="2" width="23.875" style="2" customWidth="1"/>
    <col min="3" max="3" width="56.375" style="2" customWidth="1"/>
    <col min="4" max="4" width="0.625" style="2" customWidth="1"/>
    <col min="5" max="6" width="10.875" style="2"/>
    <col min="7" max="7" width="10.875" style="2" customWidth="1"/>
    <col min="8" max="16384" width="10.875" style="2"/>
  </cols>
  <sheetData>
    <row r="1" spans="1:8" ht="60" customHeight="1" x14ac:dyDescent="0.25">
      <c r="A1" s="56" t="s">
        <v>8</v>
      </c>
      <c r="B1" s="4" t="s">
        <v>64</v>
      </c>
      <c r="C1" s="4" t="s">
        <v>64</v>
      </c>
      <c r="D1" s="56" t="s">
        <v>65</v>
      </c>
      <c r="E1" s="5"/>
      <c r="F1" s="5"/>
    </row>
    <row r="2" spans="1:8" ht="30" customHeight="1" x14ac:dyDescent="0.25">
      <c r="A2" s="3" t="s">
        <v>9</v>
      </c>
      <c r="B2" s="4" t="s">
        <v>64</v>
      </c>
      <c r="C2" s="4" t="s">
        <v>64</v>
      </c>
      <c r="D2" s="56" t="s">
        <v>65</v>
      </c>
      <c r="E2" s="5"/>
      <c r="F2" s="5"/>
    </row>
    <row r="3" spans="1:8" ht="144.94999999999999" customHeight="1" x14ac:dyDescent="0.25">
      <c r="A3" s="7" t="s">
        <v>10</v>
      </c>
      <c r="B3" s="4" t="s">
        <v>64</v>
      </c>
      <c r="C3" s="4" t="s">
        <v>64</v>
      </c>
      <c r="D3" s="56" t="s">
        <v>65</v>
      </c>
      <c r="E3" s="5"/>
      <c r="F3" s="5"/>
    </row>
    <row r="4" spans="1:8" ht="20.100000000000001" customHeight="1" x14ac:dyDescent="0.25">
      <c r="A4" s="6" t="s">
        <v>11</v>
      </c>
      <c r="B4" s="4" t="s">
        <v>64</v>
      </c>
      <c r="C4" s="4" t="s">
        <v>64</v>
      </c>
      <c r="D4" s="56" t="s">
        <v>65</v>
      </c>
      <c r="E4" s="5"/>
      <c r="F4" s="5"/>
      <c r="G4" s="5"/>
    </row>
    <row r="5" spans="1:8" ht="45" customHeight="1" x14ac:dyDescent="0.25">
      <c r="A5" s="62" t="s">
        <v>12</v>
      </c>
      <c r="B5" s="4" t="s">
        <v>64</v>
      </c>
      <c r="C5" s="4" t="s">
        <v>64</v>
      </c>
      <c r="D5" s="56" t="s">
        <v>65</v>
      </c>
      <c r="E5" s="5"/>
      <c r="F5" s="5"/>
      <c r="G5" s="5"/>
    </row>
    <row r="6" spans="1:8" ht="44.1" customHeight="1" x14ac:dyDescent="0.25">
      <c r="A6" s="7" t="s">
        <v>13</v>
      </c>
      <c r="B6" s="4" t="s">
        <v>64</v>
      </c>
      <c r="C6" s="4" t="s">
        <v>64</v>
      </c>
      <c r="D6" s="56" t="s">
        <v>65</v>
      </c>
      <c r="E6" s="5"/>
      <c r="F6" s="5"/>
    </row>
    <row r="7" spans="1:8" ht="44.1" customHeight="1" x14ac:dyDescent="0.25">
      <c r="A7" s="7" t="s">
        <v>14</v>
      </c>
      <c r="B7" s="4" t="s">
        <v>64</v>
      </c>
      <c r="C7" s="4" t="s">
        <v>64</v>
      </c>
      <c r="D7" s="56" t="s">
        <v>65</v>
      </c>
      <c r="E7" s="5"/>
      <c r="F7" s="5"/>
      <c r="G7" s="5"/>
    </row>
    <row r="8" spans="1:8" ht="44.1" customHeight="1" x14ac:dyDescent="0.25">
      <c r="A8" s="7" t="s">
        <v>15</v>
      </c>
      <c r="B8" s="4" t="s">
        <v>64</v>
      </c>
      <c r="C8" s="4" t="s">
        <v>64</v>
      </c>
      <c r="D8" s="56" t="s">
        <v>65</v>
      </c>
      <c r="E8" s="5"/>
      <c r="F8" s="5"/>
      <c r="G8" s="5"/>
    </row>
    <row r="9" spans="1:8" ht="44.1" customHeight="1" x14ac:dyDescent="0.25">
      <c r="A9" s="7" t="s">
        <v>16</v>
      </c>
      <c r="B9" s="4" t="s">
        <v>64</v>
      </c>
      <c r="C9" s="4" t="s">
        <v>64</v>
      </c>
      <c r="D9" s="56" t="s">
        <v>65</v>
      </c>
      <c r="E9" s="5"/>
      <c r="F9" s="5"/>
      <c r="G9" s="5"/>
    </row>
    <row r="10" spans="1:8" ht="30" customHeight="1" x14ac:dyDescent="0.25">
      <c r="A10" s="8" t="s">
        <v>17</v>
      </c>
      <c r="B10" s="27" t="s">
        <v>0</v>
      </c>
      <c r="C10" s="9" t="s">
        <v>18</v>
      </c>
      <c r="D10" s="56" t="s">
        <v>65</v>
      </c>
      <c r="E10" s="5"/>
      <c r="F10" s="5"/>
      <c r="G10" s="5"/>
      <c r="H10" s="5"/>
    </row>
    <row r="11" spans="1:8" ht="20.100000000000001" customHeight="1" x14ac:dyDescent="0.25">
      <c r="A11" s="87" t="s">
        <v>20</v>
      </c>
      <c r="B11" s="29" t="s">
        <v>64</v>
      </c>
      <c r="C11" s="30"/>
      <c r="D11" s="56" t="s">
        <v>65</v>
      </c>
      <c r="E11" s="5"/>
      <c r="F11" s="5"/>
      <c r="G11" s="5"/>
      <c r="H11" s="5"/>
    </row>
    <row r="12" spans="1:8" ht="20.100000000000001" customHeight="1" x14ac:dyDescent="0.25">
      <c r="A12" s="24" t="s">
        <v>19</v>
      </c>
      <c r="B12" s="113"/>
      <c r="C12" s="89"/>
      <c r="D12" s="56" t="s">
        <v>65</v>
      </c>
      <c r="E12" s="5"/>
      <c r="F12" s="5"/>
      <c r="G12" s="5"/>
      <c r="H12" s="5"/>
    </row>
    <row r="13" spans="1:8" ht="20.100000000000001" customHeight="1" x14ac:dyDescent="0.25">
      <c r="A13" s="24" t="s">
        <v>21</v>
      </c>
      <c r="B13" s="113"/>
      <c r="C13" s="89"/>
      <c r="D13" s="56" t="s">
        <v>65</v>
      </c>
      <c r="E13" s="5"/>
      <c r="F13" s="5"/>
      <c r="G13" s="5"/>
      <c r="H13" s="5"/>
    </row>
    <row r="14" spans="1:8" ht="20.100000000000001" customHeight="1" x14ac:dyDescent="0.25">
      <c r="A14" s="24" t="s">
        <v>22</v>
      </c>
      <c r="B14" s="113"/>
      <c r="C14" s="89"/>
      <c r="D14" s="56" t="s">
        <v>65</v>
      </c>
      <c r="E14" s="5"/>
      <c r="F14" s="5"/>
      <c r="G14" s="5"/>
      <c r="H14" s="5"/>
    </row>
    <row r="15" spans="1:8" ht="20.100000000000001" customHeight="1" x14ac:dyDescent="0.25">
      <c r="A15" s="24" t="s">
        <v>23</v>
      </c>
      <c r="B15" s="113"/>
      <c r="C15" s="89"/>
      <c r="D15" s="56" t="s">
        <v>65</v>
      </c>
      <c r="E15" s="5"/>
      <c r="F15" s="5"/>
      <c r="G15" s="5"/>
      <c r="H15" s="5"/>
    </row>
    <row r="16" spans="1:8" ht="20.100000000000001" customHeight="1" x14ac:dyDescent="0.25">
      <c r="A16" s="24" t="s">
        <v>24</v>
      </c>
      <c r="B16" s="113"/>
      <c r="C16" s="89"/>
      <c r="D16" s="56" t="s">
        <v>65</v>
      </c>
      <c r="E16" s="5"/>
      <c r="F16" s="5"/>
      <c r="G16" s="5"/>
      <c r="H16" s="5"/>
    </row>
    <row r="17" spans="1:8" ht="20.100000000000001" customHeight="1" x14ac:dyDescent="0.25">
      <c r="A17" s="24" t="s">
        <v>25</v>
      </c>
      <c r="B17" s="113"/>
      <c r="C17" s="89"/>
      <c r="D17" s="56" t="s">
        <v>65</v>
      </c>
      <c r="E17" s="5"/>
      <c r="F17" s="5"/>
      <c r="G17" s="5"/>
      <c r="H17" s="5"/>
    </row>
    <row r="18" spans="1:8" ht="20.100000000000001" customHeight="1" x14ac:dyDescent="0.25">
      <c r="A18" s="24" t="s">
        <v>26</v>
      </c>
      <c r="B18" s="113"/>
      <c r="C18" s="89"/>
      <c r="D18" s="56" t="s">
        <v>65</v>
      </c>
      <c r="E18" s="5"/>
      <c r="F18" s="5"/>
      <c r="G18" s="5"/>
      <c r="H18" s="5"/>
    </row>
    <row r="19" spans="1:8" ht="20.100000000000001" customHeight="1" x14ac:dyDescent="0.25">
      <c r="A19" s="24" t="s">
        <v>27</v>
      </c>
      <c r="B19" s="113"/>
      <c r="C19" s="89"/>
      <c r="D19" s="56" t="s">
        <v>65</v>
      </c>
      <c r="E19" s="5"/>
      <c r="F19" s="5"/>
      <c r="G19" s="5"/>
      <c r="H19" s="5"/>
    </row>
    <row r="20" spans="1:8" ht="20.100000000000001" customHeight="1" x14ac:dyDescent="0.25">
      <c r="A20" s="24" t="s">
        <v>28</v>
      </c>
      <c r="B20" s="113"/>
      <c r="C20" s="89"/>
      <c r="D20" s="56" t="s">
        <v>65</v>
      </c>
      <c r="E20" s="5"/>
      <c r="F20" s="5"/>
      <c r="G20" s="5"/>
      <c r="H20" s="5"/>
    </row>
    <row r="21" spans="1:8" ht="20.100000000000001" customHeight="1" x14ac:dyDescent="0.25">
      <c r="A21" s="24" t="s">
        <v>29</v>
      </c>
      <c r="B21" s="113"/>
      <c r="C21" s="89"/>
      <c r="D21" s="56" t="s">
        <v>65</v>
      </c>
      <c r="E21" s="5"/>
      <c r="F21" s="5"/>
      <c r="G21" s="5"/>
      <c r="H21" s="5"/>
    </row>
    <row r="22" spans="1:8" ht="20.100000000000001" customHeight="1" x14ac:dyDescent="0.25">
      <c r="A22" s="24" t="s">
        <v>30</v>
      </c>
      <c r="B22" s="113"/>
      <c r="C22" s="89"/>
      <c r="D22" s="56" t="s">
        <v>65</v>
      </c>
      <c r="E22" s="5"/>
      <c r="F22" s="5"/>
      <c r="G22" s="5"/>
      <c r="H22" s="5"/>
    </row>
    <row r="23" spans="1:8" ht="20.100000000000001" customHeight="1" x14ac:dyDescent="0.25">
      <c r="A23" s="24" t="s">
        <v>31</v>
      </c>
      <c r="B23" s="113"/>
      <c r="C23" s="89"/>
      <c r="D23" s="56" t="s">
        <v>65</v>
      </c>
      <c r="E23" s="5"/>
      <c r="F23" s="5"/>
      <c r="G23" s="5"/>
      <c r="H23" s="5"/>
    </row>
    <row r="24" spans="1:8" ht="20.100000000000001" customHeight="1" x14ac:dyDescent="0.25">
      <c r="A24" s="24" t="s">
        <v>32</v>
      </c>
      <c r="B24" s="113"/>
      <c r="C24" s="89"/>
      <c r="D24" s="56" t="s">
        <v>65</v>
      </c>
      <c r="E24" s="5"/>
      <c r="F24" s="5"/>
      <c r="G24" s="5"/>
      <c r="H24" s="5"/>
    </row>
    <row r="25" spans="1:8" ht="20.100000000000001" customHeight="1" x14ac:dyDescent="0.25">
      <c r="A25" s="88" t="s">
        <v>33</v>
      </c>
      <c r="B25" s="115" t="s">
        <v>64</v>
      </c>
      <c r="C25" s="31"/>
      <c r="D25" s="56" t="s">
        <v>65</v>
      </c>
      <c r="E25" s="5"/>
      <c r="F25" s="5"/>
      <c r="G25" s="5"/>
      <c r="H25" s="5"/>
    </row>
    <row r="26" spans="1:8" ht="20.100000000000001" customHeight="1" x14ac:dyDescent="0.25">
      <c r="A26" s="24" t="s">
        <v>34</v>
      </c>
      <c r="B26" s="113"/>
      <c r="C26" s="89"/>
      <c r="D26" s="56" t="s">
        <v>65</v>
      </c>
      <c r="E26" s="5"/>
      <c r="F26" s="5"/>
      <c r="G26" s="5"/>
      <c r="H26" s="5"/>
    </row>
    <row r="27" spans="1:8" ht="20.100000000000001" customHeight="1" x14ac:dyDescent="0.25">
      <c r="A27" s="24" t="s">
        <v>35</v>
      </c>
      <c r="B27" s="113"/>
      <c r="C27" s="89"/>
      <c r="D27" s="56" t="s">
        <v>65</v>
      </c>
      <c r="E27" s="5"/>
      <c r="F27" s="5"/>
      <c r="G27" s="5"/>
      <c r="H27" s="5"/>
    </row>
    <row r="28" spans="1:8" ht="20.100000000000001" customHeight="1" x14ac:dyDescent="0.25">
      <c r="A28" s="24" t="s">
        <v>36</v>
      </c>
      <c r="B28" s="113"/>
      <c r="C28" s="89"/>
      <c r="D28" s="56" t="s">
        <v>65</v>
      </c>
      <c r="E28" s="5"/>
      <c r="F28" s="5"/>
      <c r="G28" s="5"/>
      <c r="H28" s="5"/>
    </row>
    <row r="29" spans="1:8" ht="20.100000000000001" customHeight="1" x14ac:dyDescent="0.25">
      <c r="A29" s="24" t="s">
        <v>37</v>
      </c>
      <c r="B29" s="113"/>
      <c r="C29" s="89"/>
      <c r="D29" s="56" t="s">
        <v>65</v>
      </c>
      <c r="E29" s="5"/>
      <c r="F29" s="5"/>
      <c r="G29" s="5"/>
      <c r="H29" s="5"/>
    </row>
    <row r="30" spans="1:8" ht="20.100000000000001" customHeight="1" x14ac:dyDescent="0.25">
      <c r="A30" s="24" t="s">
        <v>38</v>
      </c>
      <c r="B30" s="113"/>
      <c r="C30" s="89"/>
      <c r="D30" s="56" t="s">
        <v>65</v>
      </c>
      <c r="E30" s="5"/>
      <c r="F30" s="5"/>
      <c r="G30" s="5"/>
      <c r="H30" s="5"/>
    </row>
    <row r="31" spans="1:8" ht="20.100000000000001" customHeight="1" x14ac:dyDescent="0.25">
      <c r="A31" s="88" t="s">
        <v>39</v>
      </c>
      <c r="B31" s="115" t="s">
        <v>64</v>
      </c>
      <c r="C31" s="31"/>
      <c r="D31" s="56" t="s">
        <v>65</v>
      </c>
      <c r="E31" s="5"/>
      <c r="F31" s="5"/>
      <c r="G31" s="5"/>
      <c r="H31" s="5"/>
    </row>
    <row r="32" spans="1:8" ht="20.100000000000001" customHeight="1" x14ac:dyDescent="0.25">
      <c r="A32" s="24" t="s">
        <v>40</v>
      </c>
      <c r="B32" s="113"/>
      <c r="C32" s="89"/>
      <c r="D32" s="56" t="s">
        <v>65</v>
      </c>
      <c r="E32" s="5"/>
      <c r="F32" s="5"/>
      <c r="G32" s="5"/>
      <c r="H32" s="5"/>
    </row>
    <row r="33" spans="1:10" ht="20.100000000000001" customHeight="1" x14ac:dyDescent="0.25">
      <c r="A33" s="24" t="s">
        <v>41</v>
      </c>
      <c r="B33" s="113"/>
      <c r="C33" s="89"/>
      <c r="D33" s="56" t="s">
        <v>65</v>
      </c>
      <c r="E33" s="5"/>
      <c r="F33" s="5"/>
      <c r="G33" s="5"/>
      <c r="H33" s="5"/>
    </row>
    <row r="34" spans="1:10" ht="20.100000000000001" customHeight="1" thickBot="1" x14ac:dyDescent="0.3">
      <c r="A34" s="32" t="s">
        <v>42</v>
      </c>
      <c r="B34" s="114"/>
      <c r="C34" s="90"/>
      <c r="D34" s="56" t="s">
        <v>65</v>
      </c>
      <c r="E34" s="5"/>
      <c r="F34" s="5"/>
      <c r="G34" s="5"/>
      <c r="H34" s="5"/>
    </row>
    <row r="35" spans="1:10" ht="30" customHeight="1" x14ac:dyDescent="0.25">
      <c r="A35" s="33" t="s">
        <v>43</v>
      </c>
      <c r="B35" s="198">
        <f>SUBTOTAL(109,Need_for_funds_table[€])</f>
        <v>0</v>
      </c>
      <c r="C35" s="197"/>
      <c r="D35" s="56" t="s">
        <v>65</v>
      </c>
      <c r="E35" s="5"/>
      <c r="F35" s="5"/>
      <c r="G35" s="5"/>
      <c r="H35" s="5"/>
    </row>
    <row r="36" spans="1:10" ht="30" customHeight="1" x14ac:dyDescent="0.25">
      <c r="A36" s="8" t="s">
        <v>44</v>
      </c>
      <c r="B36" s="27" t="s">
        <v>0</v>
      </c>
      <c r="C36" s="9" t="s">
        <v>18</v>
      </c>
      <c r="D36" s="56" t="s">
        <v>65</v>
      </c>
      <c r="E36" s="5"/>
      <c r="F36" s="5"/>
      <c r="G36" s="5"/>
      <c r="H36" s="5"/>
      <c r="J36" s="34"/>
    </row>
    <row r="37" spans="1:10" ht="20.100000000000001" customHeight="1" x14ac:dyDescent="0.25">
      <c r="A37" s="87" t="s">
        <v>45</v>
      </c>
      <c r="B37" s="29" t="s">
        <v>64</v>
      </c>
      <c r="C37" s="30"/>
      <c r="D37" s="56" t="s">
        <v>65</v>
      </c>
      <c r="E37" s="5"/>
      <c r="F37" s="5"/>
      <c r="G37" s="5"/>
      <c r="H37" s="5"/>
    </row>
    <row r="38" spans="1:10" ht="20.100000000000001" customHeight="1" x14ac:dyDescent="0.25">
      <c r="A38" s="24" t="s">
        <v>23</v>
      </c>
      <c r="B38" s="116">
        <f>B15</f>
        <v>0</v>
      </c>
      <c r="C38" s="91"/>
      <c r="D38" s="56" t="s">
        <v>65</v>
      </c>
      <c r="E38" s="5"/>
      <c r="F38" s="5"/>
      <c r="G38" s="5"/>
      <c r="H38" s="5"/>
    </row>
    <row r="39" spans="1:10" ht="20.100000000000001" customHeight="1" x14ac:dyDescent="0.25">
      <c r="A39" s="24" t="s">
        <v>46</v>
      </c>
      <c r="B39" s="113"/>
      <c r="C39" s="91"/>
      <c r="D39" s="56" t="s">
        <v>65</v>
      </c>
      <c r="E39" s="5"/>
      <c r="F39" s="5"/>
      <c r="G39" s="5"/>
      <c r="H39" s="5"/>
    </row>
    <row r="40" spans="1:10" ht="20.100000000000001" customHeight="1" x14ac:dyDescent="0.25">
      <c r="A40" s="24" t="s">
        <v>47</v>
      </c>
      <c r="B40" s="113"/>
      <c r="C40" s="91"/>
      <c r="D40" s="56" t="s">
        <v>65</v>
      </c>
      <c r="E40" s="5"/>
      <c r="F40" s="5"/>
      <c r="G40" s="5"/>
      <c r="H40" s="5"/>
    </row>
    <row r="41" spans="1:10" ht="20.100000000000001" customHeight="1" x14ac:dyDescent="0.25">
      <c r="A41" s="24" t="s">
        <v>48</v>
      </c>
      <c r="B41" s="113"/>
      <c r="C41" s="91"/>
      <c r="D41" s="56" t="s">
        <v>65</v>
      </c>
      <c r="E41" s="5"/>
      <c r="F41" s="5"/>
      <c r="G41" s="5"/>
      <c r="H41" s="5"/>
    </row>
    <row r="42" spans="1:10" ht="20.100000000000001" customHeight="1" x14ac:dyDescent="0.25">
      <c r="A42" s="88" t="s">
        <v>49</v>
      </c>
      <c r="B42" s="115" t="s">
        <v>64</v>
      </c>
      <c r="C42" s="35"/>
      <c r="D42" s="56" t="s">
        <v>65</v>
      </c>
      <c r="E42" s="5"/>
      <c r="F42" s="5"/>
      <c r="G42" s="5"/>
      <c r="H42" s="5"/>
    </row>
    <row r="43" spans="1:10" ht="20.100000000000001" customHeight="1" x14ac:dyDescent="0.25">
      <c r="A43" s="24" t="s">
        <v>50</v>
      </c>
      <c r="B43" s="113"/>
      <c r="C43" s="91"/>
      <c r="D43" s="56" t="s">
        <v>65</v>
      </c>
      <c r="E43" s="5"/>
      <c r="F43" s="5"/>
      <c r="G43" s="5"/>
      <c r="H43" s="5"/>
    </row>
    <row r="44" spans="1:10" ht="20.100000000000001" customHeight="1" x14ac:dyDescent="0.25">
      <c r="A44" s="24" t="s">
        <v>4</v>
      </c>
      <c r="B44" s="113"/>
      <c r="C44" s="91"/>
      <c r="D44" s="56" t="s">
        <v>65</v>
      </c>
      <c r="E44" s="5"/>
      <c r="F44" s="5"/>
      <c r="G44" s="5"/>
    </row>
    <row r="45" spans="1:10" ht="20.100000000000001" customHeight="1" x14ac:dyDescent="0.25">
      <c r="A45" s="24" t="s">
        <v>51</v>
      </c>
      <c r="B45" s="113"/>
      <c r="C45" s="91"/>
      <c r="D45" s="56" t="s">
        <v>65</v>
      </c>
      <c r="E45" s="5"/>
      <c r="F45" s="5"/>
      <c r="G45" s="5"/>
    </row>
    <row r="46" spans="1:10" ht="20.100000000000001" customHeight="1" x14ac:dyDescent="0.25">
      <c r="A46" s="24" t="s">
        <v>52</v>
      </c>
      <c r="B46" s="113"/>
      <c r="C46" s="91"/>
      <c r="D46" s="56" t="s">
        <v>65</v>
      </c>
      <c r="E46" s="5"/>
      <c r="F46" s="5"/>
      <c r="G46" s="5"/>
    </row>
    <row r="47" spans="1:10" ht="20.100000000000001" customHeight="1" x14ac:dyDescent="0.25">
      <c r="A47" s="24" t="s">
        <v>53</v>
      </c>
      <c r="B47" s="113"/>
      <c r="C47" s="91"/>
      <c r="D47" s="56" t="s">
        <v>65</v>
      </c>
      <c r="E47" s="5"/>
      <c r="F47" s="5"/>
      <c r="G47" s="5"/>
    </row>
    <row r="48" spans="1:10" ht="20.100000000000001" customHeight="1" thickBot="1" x14ac:dyDescent="0.3">
      <c r="A48" s="32" t="s">
        <v>54</v>
      </c>
      <c r="B48" s="114"/>
      <c r="C48" s="90"/>
      <c r="D48" s="56" t="s">
        <v>65</v>
      </c>
      <c r="E48" s="5"/>
      <c r="F48" s="5"/>
      <c r="G48" s="5"/>
    </row>
    <row r="49" spans="1:14" ht="30" customHeight="1" x14ac:dyDescent="0.25">
      <c r="A49" s="33" t="s">
        <v>55</v>
      </c>
      <c r="B49" s="117">
        <f>SUBTOTAL(109,Sources_of_funds_table[€])</f>
        <v>0</v>
      </c>
      <c r="C49" s="36"/>
      <c r="D49" s="56" t="s">
        <v>65</v>
      </c>
      <c r="F49" s="5"/>
      <c r="G49" s="5"/>
      <c r="H49" s="5"/>
    </row>
    <row r="50" spans="1:14" ht="50.1" customHeight="1" x14ac:dyDescent="0.25">
      <c r="A50" s="8" t="s">
        <v>56</v>
      </c>
      <c r="B50" s="27" t="s">
        <v>0</v>
      </c>
      <c r="C50" s="9" t="s">
        <v>57</v>
      </c>
      <c r="D50" s="56" t="s">
        <v>65</v>
      </c>
      <c r="F50" s="5"/>
      <c r="G50" s="5"/>
      <c r="H50" s="5"/>
    </row>
    <row r="51" spans="1:14" ht="50.1" customHeight="1" x14ac:dyDescent="0.25">
      <c r="A51" s="37" t="s">
        <v>58</v>
      </c>
      <c r="B51" s="118">
        <f>Sources_of_funds_table[[#Totals],[€]]-Need_for_funds_table[[#Totals],[€]]</f>
        <v>0</v>
      </c>
      <c r="C51" s="61" t="str">
        <f>IF(Difference_between_sources_of_funds_and_the_need_for_funds[[#This Row],[€]]=0,"CORRECT","CHECK YOUR CALCULATION!")</f>
        <v>CORRECT</v>
      </c>
      <c r="D51" s="56" t="s">
        <v>65</v>
      </c>
      <c r="E51" s="4"/>
      <c r="F51" s="4"/>
      <c r="G51" s="4"/>
      <c r="H51" s="38"/>
      <c r="I51" s="38"/>
      <c r="J51" s="38"/>
      <c r="K51" s="38"/>
      <c r="L51" s="38"/>
      <c r="M51" s="38"/>
      <c r="N51" s="38"/>
    </row>
    <row r="52" spans="1:14" ht="30" customHeight="1" x14ac:dyDescent="0.25">
      <c r="A52" s="58" t="s">
        <v>59</v>
      </c>
      <c r="B52" s="4" t="s">
        <v>64</v>
      </c>
      <c r="C52" s="4" t="s">
        <v>64</v>
      </c>
      <c r="D52" s="56" t="s">
        <v>65</v>
      </c>
      <c r="E52" s="5"/>
      <c r="F52" s="5"/>
      <c r="G52" s="5"/>
    </row>
    <row r="53" spans="1:14" ht="110.1" customHeight="1" x14ac:dyDescent="0.25">
      <c r="A53" s="57" t="s">
        <v>270</v>
      </c>
      <c r="B53" s="4" t="s">
        <v>64</v>
      </c>
      <c r="C53" s="4" t="s">
        <v>64</v>
      </c>
      <c r="D53" s="56" t="s">
        <v>65</v>
      </c>
      <c r="E53" s="5"/>
      <c r="F53" s="5"/>
      <c r="G53" s="5"/>
    </row>
    <row r="54" spans="1:14" ht="95.1" customHeight="1" x14ac:dyDescent="0.25">
      <c r="A54" s="57" t="s">
        <v>60</v>
      </c>
      <c r="B54" s="4" t="s">
        <v>64</v>
      </c>
      <c r="C54" s="4" t="s">
        <v>64</v>
      </c>
      <c r="D54" s="56" t="s">
        <v>65</v>
      </c>
      <c r="E54" s="5"/>
      <c r="F54" s="5"/>
      <c r="G54" s="5"/>
    </row>
    <row r="55" spans="1:14" ht="110.1" customHeight="1" x14ac:dyDescent="0.25">
      <c r="A55" s="57" t="s">
        <v>61</v>
      </c>
      <c r="B55" s="4" t="s">
        <v>64</v>
      </c>
      <c r="C55" s="4" t="s">
        <v>64</v>
      </c>
      <c r="D55" s="56" t="s">
        <v>65</v>
      </c>
      <c r="E55" s="5"/>
      <c r="F55" s="5"/>
      <c r="G55" s="5"/>
    </row>
    <row r="56" spans="1:14" ht="110.1" customHeight="1" x14ac:dyDescent="0.25">
      <c r="A56" s="57" t="s">
        <v>62</v>
      </c>
      <c r="B56" s="4" t="s">
        <v>64</v>
      </c>
      <c r="C56" s="4" t="s">
        <v>64</v>
      </c>
      <c r="D56" s="56" t="s">
        <v>65</v>
      </c>
      <c r="E56" s="5"/>
      <c r="F56" s="5"/>
      <c r="G56" s="5"/>
    </row>
    <row r="57" spans="1:14" ht="110.1" customHeight="1" x14ac:dyDescent="0.25">
      <c r="A57" s="59" t="s">
        <v>63</v>
      </c>
      <c r="B57" s="4" t="s">
        <v>64</v>
      </c>
      <c r="C57" s="4" t="s">
        <v>64</v>
      </c>
      <c r="D57" s="56" t="s">
        <v>65</v>
      </c>
      <c r="E57" s="5"/>
      <c r="F57" s="5"/>
      <c r="G57" s="5"/>
    </row>
    <row r="58" spans="1:14" ht="18.75" x14ac:dyDescent="0.25">
      <c r="A58" s="92" t="s">
        <v>7</v>
      </c>
      <c r="B58" s="4" t="s">
        <v>64</v>
      </c>
      <c r="C58" s="4" t="s">
        <v>64</v>
      </c>
      <c r="D58" s="56" t="s">
        <v>65</v>
      </c>
    </row>
    <row r="59" spans="1:14" ht="3.95" customHeight="1" x14ac:dyDescent="0.25">
      <c r="A59" s="56" t="s">
        <v>66</v>
      </c>
      <c r="B59" s="56" t="s">
        <v>66</v>
      </c>
      <c r="C59" s="56" t="s">
        <v>66</v>
      </c>
      <c r="D59" s="56" t="s">
        <v>66</v>
      </c>
      <c r="E59" s="5"/>
      <c r="F59" s="5"/>
      <c r="G59" s="5"/>
    </row>
    <row r="60" spans="1:14" x14ac:dyDescent="0.25">
      <c r="B60" s="5"/>
      <c r="C60" s="5"/>
    </row>
    <row r="61" spans="1:14" x14ac:dyDescent="0.25">
      <c r="B61" s="5"/>
      <c r="C61" s="5"/>
    </row>
    <row r="62" spans="1:14" x14ac:dyDescent="0.25">
      <c r="B62" s="5"/>
      <c r="C62" s="5"/>
    </row>
    <row r="63" spans="1:14" x14ac:dyDescent="0.25">
      <c r="B63" s="5"/>
      <c r="C63" s="5"/>
    </row>
  </sheetData>
  <sheetProtection sheet="1" objects="1" scenarios="1"/>
  <conditionalFormatting sqref="C51">
    <cfRule type="containsText" dxfId="4" priority="1" operator="containsText" text="CORRECT">
      <formula>NOT(ISERROR(SEARCH("CORRECT",C51)))</formula>
    </cfRule>
    <cfRule type="containsText" dxfId="3" priority="2" operator="containsText" text="CHECK YOUR CALCULATION">
      <formula>NOT(ISERROR(SEARCH("CHECK YOUR CALCULATION",C51)))</formula>
    </cfRule>
  </conditionalFormatting>
  <pageMargins left="0.7" right="0.7" top="0.75" bottom="0.75" header="0.3" footer="0.3"/>
  <pageSetup paperSize="9" orientation="portrait" horizontalDpi="0" verticalDpi="0"/>
  <drawing r:id="rId1"/>
  <legacyDrawing r:id="rId2"/>
  <tableParts count="4">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1400E-7B69-1B4C-9FE7-6B7F1667EA3F}">
  <dimension ref="A1:I85"/>
  <sheetViews>
    <sheetView zoomScaleNormal="100" workbookViewId="0">
      <selection activeCell="B3" sqref="B3"/>
    </sheetView>
  </sheetViews>
  <sheetFormatPr defaultColWidth="10.875" defaultRowHeight="18" x14ac:dyDescent="0.25"/>
  <cols>
    <col min="1" max="1" width="95.875" style="2" customWidth="1"/>
    <col min="2" max="2" width="23.875" style="2" customWidth="1"/>
    <col min="3" max="3" width="25.875" style="2" customWidth="1"/>
    <col min="4" max="4" width="23.875" style="2" customWidth="1"/>
    <col min="5" max="5" width="0.625" style="2" customWidth="1"/>
    <col min="6" max="16384" width="10.875" style="2"/>
  </cols>
  <sheetData>
    <row r="1" spans="1:9" ht="60" customHeight="1" x14ac:dyDescent="0.25">
      <c r="A1" s="56" t="s">
        <v>67</v>
      </c>
      <c r="B1" s="4" t="s">
        <v>64</v>
      </c>
      <c r="C1" s="4" t="s">
        <v>64</v>
      </c>
      <c r="D1" s="4" t="s">
        <v>64</v>
      </c>
      <c r="E1" s="56" t="s">
        <v>145</v>
      </c>
      <c r="F1" s="4"/>
      <c r="G1" s="4"/>
      <c r="H1" s="5"/>
      <c r="I1" s="5"/>
    </row>
    <row r="2" spans="1:9" ht="30" customHeight="1" x14ac:dyDescent="0.25">
      <c r="A2" s="1" t="s">
        <v>68</v>
      </c>
      <c r="B2" s="4" t="s">
        <v>64</v>
      </c>
      <c r="C2" s="4" t="s">
        <v>64</v>
      </c>
      <c r="D2" s="4" t="s">
        <v>64</v>
      </c>
      <c r="E2" s="56" t="s">
        <v>145</v>
      </c>
      <c r="F2" s="4"/>
      <c r="G2" s="4"/>
      <c r="H2" s="5"/>
      <c r="I2" s="5"/>
    </row>
    <row r="3" spans="1:9" ht="125.1" customHeight="1" x14ac:dyDescent="0.25">
      <c r="A3" s="7" t="s">
        <v>69</v>
      </c>
      <c r="B3" s="4" t="s">
        <v>64</v>
      </c>
      <c r="C3" s="4" t="s">
        <v>64</v>
      </c>
      <c r="D3" s="4" t="s">
        <v>64</v>
      </c>
      <c r="E3" s="56" t="s">
        <v>145</v>
      </c>
      <c r="F3" s="4"/>
      <c r="G3" s="4"/>
      <c r="H3" s="5"/>
      <c r="I3" s="5"/>
    </row>
    <row r="4" spans="1:9" ht="50.1" customHeight="1" x14ac:dyDescent="0.25">
      <c r="A4" s="76" t="s">
        <v>70</v>
      </c>
      <c r="B4" s="4" t="s">
        <v>64</v>
      </c>
      <c r="C4" s="4" t="s">
        <v>64</v>
      </c>
      <c r="D4" s="4" t="s">
        <v>64</v>
      </c>
      <c r="E4" s="56" t="s">
        <v>145</v>
      </c>
      <c r="F4" s="4"/>
      <c r="G4" s="4"/>
      <c r="H4" s="5"/>
      <c r="I4" s="5"/>
    </row>
    <row r="5" spans="1:9" ht="30" customHeight="1" x14ac:dyDescent="0.25">
      <c r="A5" s="8" t="s">
        <v>71</v>
      </c>
      <c r="B5" s="9" t="s">
        <v>72</v>
      </c>
      <c r="C5" s="10" t="s">
        <v>73</v>
      </c>
      <c r="D5" s="4" t="s">
        <v>64</v>
      </c>
      <c r="E5" s="56" t="s">
        <v>145</v>
      </c>
      <c r="F5" s="4"/>
      <c r="G5" s="4"/>
    </row>
    <row r="6" spans="1:9" ht="20.100000000000001" customHeight="1" x14ac:dyDescent="0.25">
      <c r="A6" s="11" t="s">
        <v>74</v>
      </c>
      <c r="B6" s="93"/>
      <c r="C6" s="94">
        <f>Target_earnings_table[[#This Row],[Per month]]*12</f>
        <v>0</v>
      </c>
      <c r="D6" s="4" t="s">
        <v>64</v>
      </c>
      <c r="E6" s="56" t="s">
        <v>145</v>
      </c>
      <c r="F6" s="4"/>
      <c r="G6" s="4"/>
    </row>
    <row r="7" spans="1:9" ht="20.100000000000001" customHeight="1" x14ac:dyDescent="0.25">
      <c r="A7" s="12" t="s">
        <v>75</v>
      </c>
      <c r="B7" s="95"/>
      <c r="C7" s="96">
        <f>Target_earnings_table[[#This Row],[Per month]]*12</f>
        <v>0</v>
      </c>
      <c r="D7" s="4" t="s">
        <v>64</v>
      </c>
      <c r="E7" s="56" t="s">
        <v>145</v>
      </c>
      <c r="F7" s="4"/>
      <c r="G7" s="4"/>
    </row>
    <row r="8" spans="1:9" ht="20.100000000000001" customHeight="1" x14ac:dyDescent="0.25">
      <c r="A8" s="13" t="s">
        <v>76</v>
      </c>
      <c r="B8" s="97">
        <f>SUM(B6:B7)</f>
        <v>0</v>
      </c>
      <c r="C8" s="98">
        <f>Target_earnings_table[[#This Row],[Per month]]*12</f>
        <v>0</v>
      </c>
      <c r="D8" s="4" t="s">
        <v>64</v>
      </c>
      <c r="E8" s="56" t="s">
        <v>145</v>
      </c>
      <c r="F8" s="4"/>
      <c r="G8" s="4"/>
    </row>
    <row r="9" spans="1:9" ht="20.100000000000001" customHeight="1" x14ac:dyDescent="0.25">
      <c r="A9" s="12" t="s">
        <v>77</v>
      </c>
      <c r="B9" s="95"/>
      <c r="C9" s="96">
        <f>Target_earnings_table[[#This Row],[Per month]]*12</f>
        <v>0</v>
      </c>
      <c r="D9" s="4" t="s">
        <v>64</v>
      </c>
      <c r="E9" s="56" t="s">
        <v>145</v>
      </c>
      <c r="F9" s="4"/>
      <c r="G9" s="4"/>
    </row>
    <row r="10" spans="1:9" ht="20.100000000000001" customHeight="1" x14ac:dyDescent="0.25">
      <c r="A10" s="14" t="s">
        <v>78</v>
      </c>
      <c r="B10" s="99">
        <f>SUM(B8:B9)</f>
        <v>0</v>
      </c>
      <c r="C10" s="100">
        <f>Target_earnings_table[[#This Row],[Per month]]*12</f>
        <v>0</v>
      </c>
      <c r="D10" s="4" t="s">
        <v>64</v>
      </c>
      <c r="E10" s="56" t="s">
        <v>145</v>
      </c>
      <c r="F10" s="4"/>
      <c r="G10" s="4"/>
    </row>
    <row r="11" spans="1:9" ht="20.100000000000001" customHeight="1" thickBot="1" x14ac:dyDescent="0.3">
      <c r="A11" s="15" t="s">
        <v>79</v>
      </c>
      <c r="B11" s="101"/>
      <c r="C11" s="102">
        <f>Target_earnings_table[[#This Row],[Per month]]*12</f>
        <v>0</v>
      </c>
      <c r="D11" s="4" t="s">
        <v>64</v>
      </c>
      <c r="E11" s="56" t="s">
        <v>145</v>
      </c>
      <c r="F11" s="4"/>
      <c r="G11" s="4"/>
    </row>
    <row r="12" spans="1:9" ht="24.95" customHeight="1" x14ac:dyDescent="0.25">
      <c r="A12" s="16" t="s">
        <v>80</v>
      </c>
      <c r="B12" s="103">
        <f>SUM(B10:B11)</f>
        <v>0</v>
      </c>
      <c r="C12" s="104">
        <f>SUM(C10:C11)</f>
        <v>0</v>
      </c>
      <c r="D12" s="4" t="s">
        <v>64</v>
      </c>
      <c r="E12" s="56" t="s">
        <v>145</v>
      </c>
      <c r="F12" s="4"/>
      <c r="G12" s="4"/>
    </row>
    <row r="13" spans="1:9" ht="30" customHeight="1" x14ac:dyDescent="0.25">
      <c r="A13" s="17" t="s">
        <v>81</v>
      </c>
      <c r="B13" s="9" t="s">
        <v>72</v>
      </c>
      <c r="C13" s="10" t="s">
        <v>73</v>
      </c>
      <c r="D13" s="4" t="s">
        <v>64</v>
      </c>
      <c r="E13" s="56" t="s">
        <v>145</v>
      </c>
      <c r="F13" s="4"/>
      <c r="G13" s="4"/>
    </row>
    <row r="14" spans="1:9" ht="20.100000000000001" customHeight="1" x14ac:dyDescent="0.25">
      <c r="A14" s="11" t="s">
        <v>82</v>
      </c>
      <c r="B14" s="93"/>
      <c r="C14" s="94">
        <f>Fixed_business_expenses_table[[#This Row],[Per month]]*12</f>
        <v>0</v>
      </c>
      <c r="D14" s="4" t="s">
        <v>64</v>
      </c>
      <c r="E14" s="56" t="s">
        <v>145</v>
      </c>
      <c r="F14" s="4"/>
      <c r="G14" s="4"/>
    </row>
    <row r="15" spans="1:9" ht="20.100000000000001" customHeight="1" x14ac:dyDescent="0.25">
      <c r="A15" s="18" t="s">
        <v>83</v>
      </c>
      <c r="B15" s="95"/>
      <c r="C15" s="96">
        <f>Fixed_business_expenses_table[[#This Row],[Per month]]*12</f>
        <v>0</v>
      </c>
      <c r="D15" s="4" t="s">
        <v>64</v>
      </c>
      <c r="E15" s="56" t="s">
        <v>145</v>
      </c>
      <c r="F15" s="4"/>
      <c r="G15" s="4"/>
    </row>
    <row r="16" spans="1:9" ht="20.100000000000001" customHeight="1" x14ac:dyDescent="0.25">
      <c r="A16" s="18" t="s">
        <v>84</v>
      </c>
      <c r="B16" s="95"/>
      <c r="C16" s="96">
        <f>Fixed_business_expenses_table[[#This Row],[Per month]]*12</f>
        <v>0</v>
      </c>
      <c r="D16" s="4" t="s">
        <v>64</v>
      </c>
      <c r="E16" s="56" t="s">
        <v>145</v>
      </c>
      <c r="F16" s="4"/>
      <c r="G16" s="4"/>
    </row>
    <row r="17" spans="1:7" ht="20.100000000000001" customHeight="1" x14ac:dyDescent="0.25">
      <c r="A17" s="19" t="s">
        <v>85</v>
      </c>
      <c r="B17" s="95"/>
      <c r="C17" s="96">
        <f>Fixed_business_expenses_table[[#This Row],[Per month]]*12</f>
        <v>0</v>
      </c>
      <c r="D17" s="4" t="s">
        <v>64</v>
      </c>
      <c r="E17" s="56" t="s">
        <v>145</v>
      </c>
      <c r="F17" s="4"/>
      <c r="G17" s="4"/>
    </row>
    <row r="18" spans="1:7" ht="20.100000000000001" customHeight="1" x14ac:dyDescent="0.25">
      <c r="A18" s="18" t="s">
        <v>86</v>
      </c>
      <c r="B18" s="95"/>
      <c r="C18" s="96">
        <f>Fixed_business_expenses_table[[#This Row],[Per month]]*12</f>
        <v>0</v>
      </c>
      <c r="D18" s="4" t="s">
        <v>64</v>
      </c>
      <c r="E18" s="56" t="s">
        <v>145</v>
      </c>
      <c r="F18" s="4"/>
      <c r="G18" s="4"/>
    </row>
    <row r="19" spans="1:7" ht="20.100000000000001" customHeight="1" x14ac:dyDescent="0.25">
      <c r="A19" s="18" t="s">
        <v>87</v>
      </c>
      <c r="B19" s="95"/>
      <c r="C19" s="96">
        <f>Fixed_business_expenses_table[[#This Row],[Per month]]*12</f>
        <v>0</v>
      </c>
      <c r="D19" s="4" t="s">
        <v>64</v>
      </c>
      <c r="E19" s="56" t="s">
        <v>145</v>
      </c>
      <c r="F19" s="4"/>
      <c r="G19" s="4"/>
    </row>
    <row r="20" spans="1:7" ht="20.100000000000001" customHeight="1" x14ac:dyDescent="0.25">
      <c r="A20" s="18" t="s">
        <v>88</v>
      </c>
      <c r="B20" s="95"/>
      <c r="C20" s="96">
        <f>Fixed_business_expenses_table[[#This Row],[Per month]]*12</f>
        <v>0</v>
      </c>
      <c r="D20" s="4" t="s">
        <v>64</v>
      </c>
      <c r="E20" s="56" t="s">
        <v>145</v>
      </c>
      <c r="F20" s="4"/>
      <c r="G20" s="4"/>
    </row>
    <row r="21" spans="1:7" ht="20.100000000000001" customHeight="1" x14ac:dyDescent="0.25">
      <c r="A21" s="18" t="s">
        <v>89</v>
      </c>
      <c r="B21" s="95"/>
      <c r="C21" s="96">
        <f>Fixed_business_expenses_table[[#This Row],[Per month]]*12</f>
        <v>0</v>
      </c>
      <c r="D21" s="4" t="s">
        <v>64</v>
      </c>
      <c r="E21" s="56" t="s">
        <v>145</v>
      </c>
      <c r="F21" s="4"/>
      <c r="G21" s="4"/>
    </row>
    <row r="22" spans="1:7" ht="20.100000000000001" customHeight="1" x14ac:dyDescent="0.25">
      <c r="A22" s="18" t="s">
        <v>90</v>
      </c>
      <c r="B22" s="95"/>
      <c r="C22" s="96">
        <f>Fixed_business_expenses_table[[#This Row],[Per month]]*12</f>
        <v>0</v>
      </c>
      <c r="D22" s="4" t="s">
        <v>64</v>
      </c>
      <c r="E22" s="56" t="s">
        <v>145</v>
      </c>
      <c r="F22" s="4"/>
      <c r="G22" s="4"/>
    </row>
    <row r="23" spans="1:7" ht="20.100000000000001" customHeight="1" x14ac:dyDescent="0.25">
      <c r="A23" s="18" t="s">
        <v>91</v>
      </c>
      <c r="B23" s="95"/>
      <c r="C23" s="96">
        <f>Fixed_business_expenses_table[[#This Row],[Per month]]*12</f>
        <v>0</v>
      </c>
      <c r="D23" s="4" t="s">
        <v>64</v>
      </c>
      <c r="E23" s="56" t="s">
        <v>145</v>
      </c>
      <c r="F23" s="4"/>
      <c r="G23" s="4"/>
    </row>
    <row r="24" spans="1:7" ht="20.100000000000001" customHeight="1" x14ac:dyDescent="0.25">
      <c r="A24" s="18" t="s">
        <v>92</v>
      </c>
      <c r="B24" s="95"/>
      <c r="C24" s="96">
        <f>Fixed_business_expenses_table[[#This Row],[Per month]]*12</f>
        <v>0</v>
      </c>
      <c r="D24" s="4" t="s">
        <v>64</v>
      </c>
      <c r="E24" s="56" t="s">
        <v>145</v>
      </c>
      <c r="F24" s="4"/>
      <c r="G24" s="4"/>
    </row>
    <row r="25" spans="1:7" ht="20.100000000000001" customHeight="1" x14ac:dyDescent="0.25">
      <c r="A25" s="18" t="s">
        <v>93</v>
      </c>
      <c r="B25" s="95"/>
      <c r="C25" s="96">
        <f>Fixed_business_expenses_table[[#This Row],[Per month]]*12</f>
        <v>0</v>
      </c>
      <c r="D25" s="4" t="s">
        <v>64</v>
      </c>
      <c r="E25" s="56" t="s">
        <v>145</v>
      </c>
      <c r="F25" s="4"/>
      <c r="G25" s="4"/>
    </row>
    <row r="26" spans="1:7" ht="20.100000000000001" customHeight="1" x14ac:dyDescent="0.25">
      <c r="A26" s="18" t="s">
        <v>94</v>
      </c>
      <c r="B26" s="95"/>
      <c r="C26" s="96">
        <f>Fixed_business_expenses_table[[#This Row],[Per month]]*12</f>
        <v>0</v>
      </c>
      <c r="D26" s="4" t="s">
        <v>64</v>
      </c>
      <c r="E26" s="56" t="s">
        <v>145</v>
      </c>
      <c r="F26" s="4"/>
      <c r="G26" s="4"/>
    </row>
    <row r="27" spans="1:7" ht="20.100000000000001" customHeight="1" x14ac:dyDescent="0.25">
      <c r="A27" s="18" t="s">
        <v>95</v>
      </c>
      <c r="B27" s="95"/>
      <c r="C27" s="96">
        <f>Fixed_business_expenses_table[[#This Row],[Per month]]*12</f>
        <v>0</v>
      </c>
      <c r="D27" s="4" t="s">
        <v>64</v>
      </c>
      <c r="E27" s="56" t="s">
        <v>145</v>
      </c>
      <c r="F27" s="4"/>
      <c r="G27" s="4"/>
    </row>
    <row r="28" spans="1:7" ht="20.100000000000001" customHeight="1" x14ac:dyDescent="0.25">
      <c r="A28" s="18" t="s">
        <v>96</v>
      </c>
      <c r="B28" s="95"/>
      <c r="C28" s="96">
        <f>Fixed_business_expenses_table[[#This Row],[Per month]]*12</f>
        <v>0</v>
      </c>
      <c r="D28" s="4" t="s">
        <v>64</v>
      </c>
      <c r="E28" s="56" t="s">
        <v>145</v>
      </c>
      <c r="F28" s="4"/>
      <c r="G28" s="4"/>
    </row>
    <row r="29" spans="1:7" ht="20.100000000000001" customHeight="1" x14ac:dyDescent="0.25">
      <c r="A29" s="18" t="s">
        <v>97</v>
      </c>
      <c r="B29" s="95"/>
      <c r="C29" s="96">
        <f>Fixed_business_expenses_table[[#This Row],[Per month]]*12</f>
        <v>0</v>
      </c>
      <c r="D29" s="4" t="s">
        <v>64</v>
      </c>
      <c r="E29" s="56" t="s">
        <v>145</v>
      </c>
      <c r="F29" s="4"/>
      <c r="G29" s="4"/>
    </row>
    <row r="30" spans="1:7" ht="20.100000000000001" customHeight="1" x14ac:dyDescent="0.25">
      <c r="A30" s="18" t="s">
        <v>98</v>
      </c>
      <c r="B30" s="95"/>
      <c r="C30" s="96">
        <f>Fixed_business_expenses_table[[#This Row],[Per month]]*12</f>
        <v>0</v>
      </c>
      <c r="D30" s="4" t="s">
        <v>64</v>
      </c>
      <c r="E30" s="56" t="s">
        <v>145</v>
      </c>
      <c r="F30" s="4"/>
      <c r="G30" s="4"/>
    </row>
    <row r="31" spans="1:7" ht="20.100000000000001" customHeight="1" x14ac:dyDescent="0.25">
      <c r="A31" s="18" t="s">
        <v>99</v>
      </c>
      <c r="B31" s="95"/>
      <c r="C31" s="96">
        <f>Fixed_business_expenses_table[[#This Row],[Per month]]*12</f>
        <v>0</v>
      </c>
      <c r="D31" s="4" t="s">
        <v>64</v>
      </c>
      <c r="E31" s="56" t="s">
        <v>145</v>
      </c>
      <c r="F31" s="4"/>
      <c r="G31" s="4"/>
    </row>
    <row r="32" spans="1:7" ht="20.100000000000001" customHeight="1" thickBot="1" x14ac:dyDescent="0.3">
      <c r="A32" s="20" t="s">
        <v>100</v>
      </c>
      <c r="B32" s="101"/>
      <c r="C32" s="102">
        <f>Fixed_business_expenses_table[[#This Row],[Per month]]*12</f>
        <v>0</v>
      </c>
      <c r="D32" s="4" t="s">
        <v>64</v>
      </c>
      <c r="E32" s="56" t="s">
        <v>145</v>
      </c>
      <c r="F32" s="4"/>
      <c r="G32" s="4"/>
    </row>
    <row r="33" spans="1:9" ht="30" customHeight="1" x14ac:dyDescent="0.25">
      <c r="A33" s="21" t="s">
        <v>101</v>
      </c>
      <c r="B33" s="103">
        <f>SUM(B14:B32)</f>
        <v>0</v>
      </c>
      <c r="C33" s="104">
        <f>SUM(C14:C32)</f>
        <v>0</v>
      </c>
      <c r="D33" s="4" t="s">
        <v>64</v>
      </c>
      <c r="E33" s="56" t="s">
        <v>145</v>
      </c>
      <c r="F33" s="4"/>
      <c r="G33" s="4"/>
    </row>
    <row r="34" spans="1:9" ht="30" customHeight="1" x14ac:dyDescent="0.25">
      <c r="A34" s="17" t="s">
        <v>102</v>
      </c>
      <c r="B34" s="9" t="s">
        <v>72</v>
      </c>
      <c r="C34" s="10" t="s">
        <v>73</v>
      </c>
      <c r="D34" s="4" t="s">
        <v>64</v>
      </c>
      <c r="E34" s="56" t="s">
        <v>145</v>
      </c>
      <c r="F34" s="4"/>
      <c r="G34" s="4"/>
    </row>
    <row r="35" spans="1:9" ht="20.100000000000001" customHeight="1" x14ac:dyDescent="0.25">
      <c r="A35" s="22" t="s">
        <v>103</v>
      </c>
      <c r="B35" s="105">
        <f>SUM(B12,B33)</f>
        <v>0</v>
      </c>
      <c r="C35" s="106">
        <f>SUM(C12,C33)</f>
        <v>0</v>
      </c>
      <c r="D35" s="4" t="s">
        <v>64</v>
      </c>
      <c r="E35" s="56" t="s">
        <v>145</v>
      </c>
      <c r="F35" s="4"/>
      <c r="G35" s="4"/>
    </row>
    <row r="36" spans="1:9" ht="20.100000000000001" customHeight="1" thickBot="1" x14ac:dyDescent="0.3">
      <c r="A36" s="15" t="s">
        <v>104</v>
      </c>
      <c r="B36" s="107">
        <f>B35/100*25.5</f>
        <v>0</v>
      </c>
      <c r="C36" s="102">
        <f>C35/100*25.5</f>
        <v>0</v>
      </c>
      <c r="D36" s="4" t="s">
        <v>64</v>
      </c>
      <c r="E36" s="56" t="s">
        <v>145</v>
      </c>
      <c r="F36" s="4"/>
      <c r="G36" s="4"/>
    </row>
    <row r="37" spans="1:9" ht="30" customHeight="1" x14ac:dyDescent="0.25">
      <c r="A37" s="23" t="s">
        <v>105</v>
      </c>
      <c r="B37" s="103">
        <f>SUM(B35,B36)</f>
        <v>0</v>
      </c>
      <c r="C37" s="104">
        <f>SUM(C35,C36)</f>
        <v>0</v>
      </c>
      <c r="D37" s="4" t="s">
        <v>64</v>
      </c>
      <c r="E37" s="56" t="s">
        <v>145</v>
      </c>
      <c r="F37" s="4"/>
      <c r="G37" s="4"/>
    </row>
    <row r="38" spans="1:9" ht="54.95" customHeight="1" x14ac:dyDescent="0.25">
      <c r="A38" s="8" t="s">
        <v>106</v>
      </c>
      <c r="B38" s="9" t="s">
        <v>108</v>
      </c>
      <c r="C38" s="10" t="s">
        <v>107</v>
      </c>
      <c r="D38" s="4" t="s">
        <v>64</v>
      </c>
      <c r="E38" s="56" t="s">
        <v>145</v>
      </c>
      <c r="F38" s="4"/>
      <c r="G38" s="4"/>
    </row>
    <row r="39" spans="1:9" ht="20.100000000000001" customHeight="1" x14ac:dyDescent="0.25">
      <c r="A39" s="11" t="s">
        <v>109</v>
      </c>
      <c r="B39" s="108">
        <f>C35</f>
        <v>0</v>
      </c>
      <c r="C39" s="94">
        <f>C37</f>
        <v>0</v>
      </c>
      <c r="D39" s="4" t="s">
        <v>64</v>
      </c>
      <c r="E39" s="56" t="s">
        <v>145</v>
      </c>
      <c r="F39" s="4"/>
      <c r="G39" s="4"/>
    </row>
    <row r="40" spans="1:9" ht="20.100000000000001" customHeight="1" x14ac:dyDescent="0.25">
      <c r="A40" s="24" t="s">
        <v>110</v>
      </c>
      <c r="B40" s="109">
        <f>B39/11</f>
        <v>0</v>
      </c>
      <c r="C40" s="96">
        <f>C39/11</f>
        <v>0</v>
      </c>
      <c r="D40" s="4" t="s">
        <v>64</v>
      </c>
      <c r="E40" s="56" t="s">
        <v>145</v>
      </c>
      <c r="F40" s="4"/>
      <c r="G40" s="4"/>
    </row>
    <row r="41" spans="1:9" ht="20.100000000000001" customHeight="1" x14ac:dyDescent="0.25">
      <c r="A41" s="18" t="s">
        <v>111</v>
      </c>
      <c r="B41" s="110">
        <f>B40/20</f>
        <v>0</v>
      </c>
      <c r="C41" s="96">
        <f>C40/20</f>
        <v>0</v>
      </c>
      <c r="D41" s="4" t="s">
        <v>64</v>
      </c>
      <c r="E41" s="56" t="s">
        <v>145</v>
      </c>
      <c r="F41" s="4"/>
      <c r="G41" s="4"/>
    </row>
    <row r="42" spans="1:9" ht="30" customHeight="1" x14ac:dyDescent="0.25">
      <c r="A42" s="25" t="s">
        <v>112</v>
      </c>
      <c r="B42" s="111">
        <f>B41/8</f>
        <v>0</v>
      </c>
      <c r="C42" s="112">
        <f>C41/8</f>
        <v>0</v>
      </c>
      <c r="D42" s="4" t="s">
        <v>64</v>
      </c>
      <c r="E42" s="56" t="s">
        <v>145</v>
      </c>
      <c r="F42" s="4"/>
      <c r="G42" s="4"/>
    </row>
    <row r="43" spans="1:9" ht="30" customHeight="1" x14ac:dyDescent="0.25">
      <c r="A43" s="17" t="s">
        <v>113</v>
      </c>
      <c r="B43" s="67" t="s">
        <v>114</v>
      </c>
      <c r="C43" s="26" t="s">
        <v>115</v>
      </c>
      <c r="D43" s="27" t="s">
        <v>116</v>
      </c>
      <c r="E43" s="56" t="s">
        <v>145</v>
      </c>
      <c r="F43" s="4"/>
      <c r="G43" s="4"/>
      <c r="H43" s="5"/>
      <c r="I43" s="5"/>
    </row>
    <row r="44" spans="1:9" ht="20.100000000000001" customHeight="1" x14ac:dyDescent="0.25">
      <c r="A44" s="11" t="s">
        <v>117</v>
      </c>
      <c r="B44" s="86" t="s">
        <v>118</v>
      </c>
      <c r="C44" s="158">
        <v>15</v>
      </c>
      <c r="D44" s="159">
        <v>10</v>
      </c>
      <c r="E44" s="56" t="s">
        <v>145</v>
      </c>
      <c r="F44" s="4"/>
      <c r="G44" s="4"/>
      <c r="H44" s="5"/>
      <c r="I44" s="5"/>
    </row>
    <row r="45" spans="1:9" ht="30" customHeight="1" x14ac:dyDescent="0.25">
      <c r="A45" s="25" t="s">
        <v>119</v>
      </c>
      <c r="B45" s="86" t="s">
        <v>118</v>
      </c>
      <c r="C45" s="160">
        <v>5</v>
      </c>
      <c r="D45" s="161">
        <v>5</v>
      </c>
      <c r="E45" s="56" t="s">
        <v>145</v>
      </c>
      <c r="F45" s="4"/>
      <c r="G45" s="4"/>
      <c r="H45" s="5"/>
      <c r="I45" s="5"/>
    </row>
    <row r="46" spans="1:9" ht="30" customHeight="1" x14ac:dyDescent="0.25">
      <c r="A46" s="17" t="s">
        <v>120</v>
      </c>
      <c r="B46" s="26" t="s">
        <v>1</v>
      </c>
      <c r="C46" s="26" t="s">
        <v>2</v>
      </c>
      <c r="D46" s="27" t="s">
        <v>3</v>
      </c>
      <c r="E46" s="56" t="s">
        <v>145</v>
      </c>
      <c r="F46" s="4"/>
      <c r="G46" s="4"/>
    </row>
    <row r="47" spans="1:9" ht="20.100000000000001" customHeight="1" x14ac:dyDescent="0.25">
      <c r="A47" s="11" t="s">
        <v>121</v>
      </c>
      <c r="B47" s="108">
        <f>C37</f>
        <v>0</v>
      </c>
      <c r="C47" s="108">
        <f>SUM(C48:C49)</f>
        <v>0</v>
      </c>
      <c r="D47" s="94">
        <f>SUM(D48:D49)</f>
        <v>0</v>
      </c>
      <c r="E47" s="56" t="s">
        <v>145</v>
      </c>
      <c r="F47" s="4"/>
      <c r="G47" s="4"/>
    </row>
    <row r="48" spans="1:9" ht="20.100000000000001" customHeight="1" x14ac:dyDescent="0.25">
      <c r="A48" s="18" t="s">
        <v>122</v>
      </c>
      <c r="B48" s="110">
        <f>C36</f>
        <v>0</v>
      </c>
      <c r="C48" s="110">
        <f>C49*0.255</f>
        <v>0</v>
      </c>
      <c r="D48" s="96">
        <f>D49*0.255</f>
        <v>0</v>
      </c>
      <c r="E48" s="56" t="s">
        <v>145</v>
      </c>
      <c r="F48" s="4"/>
      <c r="G48" s="4"/>
    </row>
    <row r="49" spans="1:7" ht="20.100000000000001" customHeight="1" x14ac:dyDescent="0.25">
      <c r="A49" s="28" t="s">
        <v>123</v>
      </c>
      <c r="B49" s="99">
        <f>B47-B48</f>
        <v>0</v>
      </c>
      <c r="C49" s="99">
        <f>Three_year_profit_and_loss_table[[#This Row],[vuosi +1]]+(Three_year_profit_and_loss_table[[#This Row],[vuosi +1]]/100*C44)</f>
        <v>0</v>
      </c>
      <c r="D49" s="100">
        <f>Three_year_profit_and_loss_table[[#This Row],[vuosi +2]]+(Three_year_profit_and_loss_table[[#This Row],[vuosi +2]]/100*D44)</f>
        <v>0</v>
      </c>
      <c r="E49" s="56" t="s">
        <v>145</v>
      </c>
      <c r="F49" s="4"/>
      <c r="G49" s="4"/>
    </row>
    <row r="50" spans="1:7" ht="20.100000000000001" customHeight="1" x14ac:dyDescent="0.25">
      <c r="A50" s="18" t="s">
        <v>124</v>
      </c>
      <c r="B50" s="110">
        <f>SUM(C16:C18)</f>
        <v>0</v>
      </c>
      <c r="C50" s="110">
        <f>Three_year_profit_and_loss_table[[#This Row],[vuosi +1]]+(Three_year_profit_and_loss_table[[#This Row],[vuosi +1]]/100*C45)</f>
        <v>0</v>
      </c>
      <c r="D50" s="96">
        <f>Three_year_profit_and_loss_table[[#This Row],[vuosi +2]]+(Three_year_profit_and_loss_table[[#This Row],[vuosi +2]]/100*D45)</f>
        <v>0</v>
      </c>
      <c r="E50" s="56" t="s">
        <v>145</v>
      </c>
      <c r="F50" s="4"/>
      <c r="G50" s="4"/>
    </row>
    <row r="51" spans="1:7" ht="20.100000000000001" customHeight="1" x14ac:dyDescent="0.25">
      <c r="A51" s="18" t="s">
        <v>125</v>
      </c>
      <c r="B51" s="110">
        <f>C19</f>
        <v>0</v>
      </c>
      <c r="C51" s="110">
        <f>Three_year_profit_and_loss_table[[#This Row],[vuosi +1]]+(Three_year_profit_and_loss_table[[#This Row],[vuosi +1]]/100*C45)</f>
        <v>0</v>
      </c>
      <c r="D51" s="96">
        <f>Three_year_profit_and_loss_table[[#This Row],[vuosi +2]]+(Three_year_profit_and_loss_table[[#This Row],[vuosi +2]]/100*D45)</f>
        <v>0</v>
      </c>
      <c r="E51" s="56" t="s">
        <v>145</v>
      </c>
      <c r="F51" s="4"/>
      <c r="G51" s="4"/>
    </row>
    <row r="52" spans="1:7" ht="20.100000000000001" customHeight="1" x14ac:dyDescent="0.25">
      <c r="A52" s="18" t="s">
        <v>89</v>
      </c>
      <c r="B52" s="110">
        <f>C21</f>
        <v>0</v>
      </c>
      <c r="C52" s="110">
        <f>Three_year_profit_and_loss_table[[#This Row],[vuosi +1]]+(Three_year_profit_and_loss_table[[#This Row],[vuosi +1]]/100*C45)</f>
        <v>0</v>
      </c>
      <c r="D52" s="96">
        <f>Three_year_profit_and_loss_table[[#This Row],[vuosi +2]]+(Three_year_profit_and_loss_table[[#This Row],[vuosi +2]]/100*D45)</f>
        <v>0</v>
      </c>
      <c r="E52" s="56" t="s">
        <v>145</v>
      </c>
      <c r="F52" s="4"/>
      <c r="G52" s="4"/>
    </row>
    <row r="53" spans="1:7" ht="20.100000000000001" customHeight="1" x14ac:dyDescent="0.25">
      <c r="A53" s="18" t="s">
        <v>126</v>
      </c>
      <c r="B53" s="110">
        <f>SUM(C14:C15,C20,C22:C32)</f>
        <v>0</v>
      </c>
      <c r="C53" s="110">
        <f>Three_year_profit_and_loss_table[[#This Row],[vuosi +1]]+(Three_year_profit_and_loss_table[[#This Row],[vuosi +1]]/100*C45)</f>
        <v>0</v>
      </c>
      <c r="D53" s="96">
        <f>Three_year_profit_and_loss_table[[#This Row],[vuosi +2]]+(Three_year_profit_and_loss_table[[#This Row],[vuosi +2]]/100*D45)</f>
        <v>0</v>
      </c>
      <c r="E53" s="56" t="s">
        <v>145</v>
      </c>
      <c r="F53" s="4"/>
      <c r="G53" s="4"/>
    </row>
    <row r="54" spans="1:7" ht="20.100000000000001" customHeight="1" x14ac:dyDescent="0.25">
      <c r="A54" s="28" t="s">
        <v>127</v>
      </c>
      <c r="B54" s="99">
        <f>B49-B50-B51-B52-B53</f>
        <v>0</v>
      </c>
      <c r="C54" s="99">
        <f>C49-C50-C51-C52-C53</f>
        <v>0</v>
      </c>
      <c r="D54" s="100">
        <f>D49-D50-D51-D52-D53</f>
        <v>0</v>
      </c>
      <c r="E54" s="56" t="s">
        <v>145</v>
      </c>
      <c r="F54" s="4"/>
      <c r="G54" s="4"/>
    </row>
    <row r="55" spans="1:7" ht="20.100000000000001" customHeight="1" x14ac:dyDescent="0.25">
      <c r="A55" s="18" t="s">
        <v>128</v>
      </c>
      <c r="B55" s="110">
        <f>SUM(C7,C11)</f>
        <v>0</v>
      </c>
      <c r="C55" s="110">
        <f>Three_year_profit_and_loss_table[[#This Row],[vuosi +1]]</f>
        <v>0</v>
      </c>
      <c r="D55" s="110">
        <f>Three_year_profit_and_loss_table[[#This Row],[vuosi +2]]</f>
        <v>0</v>
      </c>
      <c r="E55" s="56" t="s">
        <v>145</v>
      </c>
      <c r="F55" s="4"/>
      <c r="G55" s="4"/>
    </row>
    <row r="56" spans="1:7" ht="20.100000000000001" customHeight="1" x14ac:dyDescent="0.25">
      <c r="A56" s="18" t="s">
        <v>129</v>
      </c>
      <c r="B56" s="110">
        <f>C9</f>
        <v>0</v>
      </c>
      <c r="C56" s="110">
        <f>Three_year_profit_and_loss_table[[#This Row],[vuosi +1]]+(Three_year_profit_and_loss_table[[#This Row],[vuosi +1]]/100*C45)</f>
        <v>0</v>
      </c>
      <c r="D56" s="110">
        <f>Three_year_profit_and_loss_table[[#This Row],[vuosi +2]]+(Three_year_profit_and_loss_table[[#This Row],[vuosi +2]]/100*D45)</f>
        <v>0</v>
      </c>
      <c r="E56" s="56" t="s">
        <v>145</v>
      </c>
      <c r="F56" s="4"/>
      <c r="G56" s="4"/>
    </row>
    <row r="57" spans="1:7" ht="20.100000000000001" customHeight="1" x14ac:dyDescent="0.25">
      <c r="A57" s="28" t="s">
        <v>130</v>
      </c>
      <c r="B57" s="99">
        <f>B54-B55-B56</f>
        <v>0</v>
      </c>
      <c r="C57" s="99">
        <f t="shared" ref="C57:D57" si="0">C54-C55-C56</f>
        <v>0</v>
      </c>
      <c r="D57" s="100">
        <f t="shared" si="0"/>
        <v>0</v>
      </c>
      <c r="E57" s="56" t="s">
        <v>145</v>
      </c>
      <c r="F57" s="4"/>
      <c r="G57" s="4"/>
    </row>
    <row r="58" spans="1:7" ht="20.100000000000001" customHeight="1" x14ac:dyDescent="0.25">
      <c r="A58" s="18" t="s">
        <v>131</v>
      </c>
      <c r="B58" s="95"/>
      <c r="C58" s="95"/>
      <c r="D58" s="113"/>
      <c r="E58" s="56" t="s">
        <v>145</v>
      </c>
      <c r="F58" s="4"/>
      <c r="G58" s="4"/>
    </row>
    <row r="59" spans="1:7" ht="20.100000000000001" customHeight="1" x14ac:dyDescent="0.25">
      <c r="A59" s="28" t="s">
        <v>132</v>
      </c>
      <c r="B59" s="99">
        <f>B57-B58</f>
        <v>0</v>
      </c>
      <c r="C59" s="99">
        <f t="shared" ref="C59:D59" si="1">C57-C58</f>
        <v>0</v>
      </c>
      <c r="D59" s="100">
        <f t="shared" si="1"/>
        <v>0</v>
      </c>
      <c r="E59" s="56" t="s">
        <v>145</v>
      </c>
      <c r="F59" s="4"/>
      <c r="G59" s="4"/>
    </row>
    <row r="60" spans="1:7" ht="20.100000000000001" customHeight="1" thickBot="1" x14ac:dyDescent="0.3">
      <c r="A60" s="20" t="s">
        <v>133</v>
      </c>
      <c r="B60" s="101"/>
      <c r="C60" s="101"/>
      <c r="D60" s="114"/>
      <c r="E60" s="56" t="s">
        <v>145</v>
      </c>
      <c r="F60" s="4"/>
      <c r="G60" s="4"/>
    </row>
    <row r="61" spans="1:7" ht="30" customHeight="1" x14ac:dyDescent="0.25">
      <c r="A61" s="21" t="s">
        <v>134</v>
      </c>
      <c r="B61" s="103">
        <f>SUM(B59:B60)</f>
        <v>0</v>
      </c>
      <c r="C61" s="103">
        <f t="shared" ref="C61:D61" si="2">SUM(C59:C60)</f>
        <v>0</v>
      </c>
      <c r="D61" s="103">
        <f t="shared" si="2"/>
        <v>0</v>
      </c>
      <c r="E61" s="56" t="s">
        <v>145</v>
      </c>
      <c r="F61" s="4"/>
      <c r="G61" s="4"/>
    </row>
    <row r="62" spans="1:7" ht="30" customHeight="1" x14ac:dyDescent="0.25">
      <c r="A62" s="58" t="s">
        <v>135</v>
      </c>
      <c r="B62" s="4" t="s">
        <v>64</v>
      </c>
      <c r="C62" s="4" t="s">
        <v>64</v>
      </c>
      <c r="D62" s="4" t="s">
        <v>64</v>
      </c>
      <c r="E62" s="56" t="s">
        <v>145</v>
      </c>
      <c r="F62" s="4"/>
      <c r="G62" s="4"/>
    </row>
    <row r="63" spans="1:7" ht="135" customHeight="1" x14ac:dyDescent="0.25">
      <c r="A63" s="57" t="s">
        <v>136</v>
      </c>
      <c r="B63" s="4" t="s">
        <v>64</v>
      </c>
      <c r="C63" s="4" t="s">
        <v>64</v>
      </c>
      <c r="D63" s="4" t="s">
        <v>64</v>
      </c>
      <c r="E63" s="56" t="s">
        <v>145</v>
      </c>
      <c r="F63" s="4"/>
      <c r="G63" s="4"/>
    </row>
    <row r="64" spans="1:7" ht="102.95" customHeight="1" x14ac:dyDescent="0.25">
      <c r="A64" s="57" t="s">
        <v>137</v>
      </c>
      <c r="B64" s="4" t="s">
        <v>64</v>
      </c>
      <c r="C64" s="4" t="s">
        <v>64</v>
      </c>
      <c r="D64" s="4" t="s">
        <v>64</v>
      </c>
      <c r="E64" s="56" t="s">
        <v>145</v>
      </c>
      <c r="F64" s="4"/>
      <c r="G64" s="4"/>
    </row>
    <row r="65" spans="1:7" ht="150" customHeight="1" x14ac:dyDescent="0.25">
      <c r="A65" s="57" t="s">
        <v>138</v>
      </c>
      <c r="B65" s="4" t="s">
        <v>64</v>
      </c>
      <c r="C65" s="4" t="s">
        <v>64</v>
      </c>
      <c r="D65" s="4" t="s">
        <v>64</v>
      </c>
      <c r="E65" s="56" t="s">
        <v>145</v>
      </c>
      <c r="F65" s="4"/>
      <c r="G65" s="4"/>
    </row>
    <row r="66" spans="1:7" ht="84" customHeight="1" x14ac:dyDescent="0.25">
      <c r="A66" s="57" t="s">
        <v>139</v>
      </c>
      <c r="B66" s="4" t="s">
        <v>64</v>
      </c>
      <c r="C66" s="4" t="s">
        <v>64</v>
      </c>
      <c r="D66" s="4" t="s">
        <v>64</v>
      </c>
      <c r="E66" s="56" t="s">
        <v>145</v>
      </c>
      <c r="F66" s="4"/>
      <c r="G66" s="4"/>
    </row>
    <row r="67" spans="1:7" ht="135" customHeight="1" x14ac:dyDescent="0.25">
      <c r="A67" s="57" t="s">
        <v>271</v>
      </c>
      <c r="B67" s="4" t="s">
        <v>64</v>
      </c>
      <c r="C67" s="4" t="s">
        <v>64</v>
      </c>
      <c r="D67" s="4" t="s">
        <v>64</v>
      </c>
      <c r="E67" s="56" t="s">
        <v>145</v>
      </c>
      <c r="F67" s="4"/>
      <c r="G67" s="4"/>
    </row>
    <row r="68" spans="1:7" ht="60" customHeight="1" x14ac:dyDescent="0.25">
      <c r="A68" s="57" t="s">
        <v>140</v>
      </c>
      <c r="B68" s="4" t="s">
        <v>64</v>
      </c>
      <c r="C68" s="4" t="s">
        <v>64</v>
      </c>
      <c r="D68" s="4" t="s">
        <v>64</v>
      </c>
      <c r="E68" s="56" t="s">
        <v>145</v>
      </c>
      <c r="F68" s="4"/>
      <c r="G68" s="4"/>
    </row>
    <row r="69" spans="1:7" ht="60" customHeight="1" x14ac:dyDescent="0.25">
      <c r="A69" s="57" t="s">
        <v>141</v>
      </c>
      <c r="B69" s="4" t="s">
        <v>64</v>
      </c>
      <c r="C69" s="4" t="s">
        <v>64</v>
      </c>
      <c r="D69" s="4" t="s">
        <v>64</v>
      </c>
      <c r="E69" s="56" t="s">
        <v>145</v>
      </c>
      <c r="F69" s="4"/>
      <c r="G69" s="4"/>
    </row>
    <row r="70" spans="1:7" ht="45" customHeight="1" x14ac:dyDescent="0.25">
      <c r="A70" s="57" t="s">
        <v>142</v>
      </c>
      <c r="B70" s="4" t="s">
        <v>64</v>
      </c>
      <c r="C70" s="4" t="s">
        <v>64</v>
      </c>
      <c r="D70" s="4" t="s">
        <v>64</v>
      </c>
      <c r="E70" s="56" t="s">
        <v>145</v>
      </c>
      <c r="F70" s="4"/>
      <c r="G70" s="4"/>
    </row>
    <row r="71" spans="1:7" ht="99.95" customHeight="1" x14ac:dyDescent="0.25">
      <c r="A71" s="57" t="s">
        <v>143</v>
      </c>
      <c r="B71" s="4" t="s">
        <v>64</v>
      </c>
      <c r="C71" s="4" t="s">
        <v>64</v>
      </c>
      <c r="D71" s="4" t="s">
        <v>64</v>
      </c>
      <c r="E71" s="56" t="s">
        <v>145</v>
      </c>
      <c r="F71" s="4"/>
      <c r="G71" s="4"/>
    </row>
    <row r="72" spans="1:7" ht="60" customHeight="1" x14ac:dyDescent="0.25">
      <c r="A72" s="60" t="s">
        <v>144</v>
      </c>
      <c r="B72" s="4" t="s">
        <v>64</v>
      </c>
      <c r="C72" s="4" t="s">
        <v>64</v>
      </c>
      <c r="D72" s="4" t="s">
        <v>64</v>
      </c>
      <c r="E72" s="56" t="s">
        <v>145</v>
      </c>
      <c r="F72" s="4"/>
      <c r="G72" s="4"/>
    </row>
    <row r="73" spans="1:7" ht="18.75" x14ac:dyDescent="0.25">
      <c r="A73" s="92" t="s">
        <v>7</v>
      </c>
      <c r="B73" s="4" t="s">
        <v>64</v>
      </c>
      <c r="C73" s="4" t="s">
        <v>64</v>
      </c>
      <c r="D73" s="4" t="s">
        <v>64</v>
      </c>
      <c r="E73" s="56" t="s">
        <v>145</v>
      </c>
      <c r="F73" s="4"/>
      <c r="G73" s="4"/>
    </row>
    <row r="74" spans="1:7" ht="3.95" customHeight="1" x14ac:dyDescent="0.25">
      <c r="A74" s="56" t="s">
        <v>146</v>
      </c>
      <c r="B74" s="56" t="s">
        <v>146</v>
      </c>
      <c r="C74" s="56" t="s">
        <v>146</v>
      </c>
      <c r="D74" s="56" t="s">
        <v>146</v>
      </c>
      <c r="E74" s="56" t="s">
        <v>146</v>
      </c>
      <c r="F74" s="4"/>
      <c r="G74" s="4"/>
    </row>
    <row r="75" spans="1:7" ht="18.75" x14ac:dyDescent="0.25">
      <c r="B75" s="5"/>
      <c r="C75" s="5"/>
      <c r="D75" s="5"/>
      <c r="E75" s="5"/>
      <c r="F75" s="4"/>
      <c r="G75" s="4"/>
    </row>
    <row r="76" spans="1:7" ht="18.75" x14ac:dyDescent="0.25">
      <c r="F76" s="4"/>
      <c r="G76" s="4"/>
    </row>
    <row r="77" spans="1:7" ht="18.75" x14ac:dyDescent="0.25">
      <c r="F77" s="4"/>
      <c r="G77" s="4"/>
    </row>
    <row r="78" spans="1:7" ht="18.75" x14ac:dyDescent="0.25">
      <c r="F78" s="4"/>
      <c r="G78" s="4"/>
    </row>
    <row r="79" spans="1:7" ht="18.75" x14ac:dyDescent="0.25">
      <c r="F79" s="4"/>
      <c r="G79" s="4"/>
    </row>
    <row r="80" spans="1:7" ht="18.75" x14ac:dyDescent="0.25">
      <c r="F80" s="4"/>
      <c r="G80" s="4"/>
    </row>
    <row r="81" spans="6:7" ht="18.75" x14ac:dyDescent="0.25">
      <c r="F81" s="4"/>
      <c r="G81" s="4"/>
    </row>
    <row r="82" spans="6:7" ht="18.75" x14ac:dyDescent="0.25">
      <c r="F82" s="4"/>
      <c r="G82" s="4"/>
    </row>
    <row r="83" spans="6:7" ht="18.75" x14ac:dyDescent="0.25">
      <c r="F83" s="4"/>
      <c r="G83" s="4"/>
    </row>
    <row r="84" spans="6:7" ht="18.75" x14ac:dyDescent="0.25">
      <c r="F84" s="4"/>
      <c r="G84" s="4"/>
    </row>
    <row r="85" spans="6:7" ht="18.75" x14ac:dyDescent="0.25">
      <c r="F85" s="4"/>
      <c r="G85" s="4"/>
    </row>
  </sheetData>
  <sheetProtection sheet="1" objects="1" scenarios="1"/>
  <hyperlinks>
    <hyperlink ref="A4" r:id="rId1" tooltip="Verohallinnon sivujen veroprosenttilaskuri" xr:uid="{934B51DD-C844-964D-8063-13D649514959}"/>
  </hyperlinks>
  <pageMargins left="0.7" right="0.7" top="0.75" bottom="0.75" header="0.3" footer="0.3"/>
  <pageSetup paperSize="9" orientation="portrait" horizontalDpi="0" verticalDpi="0"/>
  <drawing r:id="rId2"/>
  <legacyDrawing r:id="rId3"/>
  <tableParts count="7">
    <tablePart r:id="rId4"/>
    <tablePart r:id="rId5"/>
    <tablePart r:id="rId6"/>
    <tablePart r:id="rId7"/>
    <tablePart r:id="rId8"/>
    <tablePart r:id="rId9"/>
    <tablePart r:id="rId10"/>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A3323-0008-A040-AC50-8CBEEC22E2AB}">
  <dimension ref="A1:Q31"/>
  <sheetViews>
    <sheetView zoomScaleNormal="100" workbookViewId="0">
      <selection activeCell="B9" sqref="B9"/>
    </sheetView>
  </sheetViews>
  <sheetFormatPr defaultColWidth="27" defaultRowHeight="18" x14ac:dyDescent="0.25"/>
  <cols>
    <col min="1" max="1" width="55.875" style="2" customWidth="1"/>
    <col min="2" max="13" width="20.875" style="2" customWidth="1"/>
    <col min="14" max="14" width="25.875" style="2" customWidth="1"/>
    <col min="15" max="15" width="0.625" style="2" customWidth="1"/>
    <col min="16" max="16384" width="27" style="2"/>
  </cols>
  <sheetData>
    <row r="1" spans="1:17" ht="60" customHeight="1" x14ac:dyDescent="0.25">
      <c r="A1" s="4" t="s">
        <v>147</v>
      </c>
      <c r="B1" s="39" t="s">
        <v>64</v>
      </c>
      <c r="C1" s="39" t="s">
        <v>64</v>
      </c>
      <c r="D1" s="39" t="s">
        <v>64</v>
      </c>
      <c r="E1" s="39" t="s">
        <v>64</v>
      </c>
      <c r="F1" s="39" t="s">
        <v>64</v>
      </c>
      <c r="G1" s="39" t="s">
        <v>64</v>
      </c>
      <c r="H1" s="39" t="s">
        <v>64</v>
      </c>
      <c r="I1" s="39" t="s">
        <v>64</v>
      </c>
      <c r="J1" s="39" t="s">
        <v>64</v>
      </c>
      <c r="K1" s="39" t="s">
        <v>64</v>
      </c>
      <c r="L1" s="39" t="s">
        <v>64</v>
      </c>
      <c r="M1" s="39" t="s">
        <v>64</v>
      </c>
      <c r="N1" s="39" t="s">
        <v>64</v>
      </c>
      <c r="O1" s="56" t="s">
        <v>201</v>
      </c>
    </row>
    <row r="2" spans="1:17" ht="50.1" customHeight="1" x14ac:dyDescent="0.25">
      <c r="A2" s="63" t="s">
        <v>148</v>
      </c>
      <c r="B2" s="39" t="s">
        <v>64</v>
      </c>
      <c r="C2" s="39" t="s">
        <v>64</v>
      </c>
      <c r="D2" s="39" t="s">
        <v>64</v>
      </c>
      <c r="E2" s="39" t="s">
        <v>64</v>
      </c>
      <c r="F2" s="39" t="s">
        <v>64</v>
      </c>
      <c r="G2" s="39" t="s">
        <v>64</v>
      </c>
      <c r="H2" s="39" t="s">
        <v>64</v>
      </c>
      <c r="I2" s="39" t="s">
        <v>64</v>
      </c>
      <c r="J2" s="39" t="s">
        <v>64</v>
      </c>
      <c r="K2" s="39" t="s">
        <v>64</v>
      </c>
      <c r="L2" s="39" t="s">
        <v>64</v>
      </c>
      <c r="M2" s="39" t="s">
        <v>64</v>
      </c>
      <c r="N2" s="39" t="s">
        <v>64</v>
      </c>
      <c r="O2" s="56" t="s">
        <v>201</v>
      </c>
    </row>
    <row r="3" spans="1:17" ht="50.1" customHeight="1" x14ac:dyDescent="0.25">
      <c r="A3" s="72" t="s">
        <v>149</v>
      </c>
      <c r="B3" s="209" t="s">
        <v>150</v>
      </c>
      <c r="C3" s="210"/>
      <c r="D3" s="209" t="s">
        <v>151</v>
      </c>
      <c r="E3" s="210"/>
      <c r="F3" s="209" t="s">
        <v>152</v>
      </c>
      <c r="G3" s="210"/>
      <c r="H3" s="209" t="s">
        <v>153</v>
      </c>
      <c r="I3" s="210"/>
      <c r="J3" s="209" t="s">
        <v>154</v>
      </c>
      <c r="K3" s="210"/>
      <c r="L3" s="209" t="s">
        <v>155</v>
      </c>
      <c r="M3" s="210"/>
      <c r="N3" s="39" t="s">
        <v>64</v>
      </c>
      <c r="O3" s="56" t="s">
        <v>201</v>
      </c>
    </row>
    <row r="4" spans="1:17" ht="50.1" customHeight="1" x14ac:dyDescent="0.25">
      <c r="A4" s="73" t="s">
        <v>156</v>
      </c>
      <c r="B4" s="74" t="s">
        <v>157</v>
      </c>
      <c r="C4" s="75" t="s">
        <v>158</v>
      </c>
      <c r="D4" s="74" t="s">
        <v>159</v>
      </c>
      <c r="E4" s="75" t="s">
        <v>160</v>
      </c>
      <c r="F4" s="74" t="s">
        <v>161</v>
      </c>
      <c r="G4" s="75" t="s">
        <v>162</v>
      </c>
      <c r="H4" s="74" t="s">
        <v>163</v>
      </c>
      <c r="I4" s="75" t="s">
        <v>164</v>
      </c>
      <c r="J4" s="74" t="s">
        <v>165</v>
      </c>
      <c r="K4" s="75" t="s">
        <v>166</v>
      </c>
      <c r="L4" s="74" t="s">
        <v>167</v>
      </c>
      <c r="M4" s="75" t="s">
        <v>168</v>
      </c>
      <c r="N4" s="65" t="s">
        <v>64</v>
      </c>
      <c r="O4" s="56" t="s">
        <v>201</v>
      </c>
    </row>
    <row r="5" spans="1:17" ht="20.100000000000001" customHeight="1" thickBot="1" x14ac:dyDescent="0.3">
      <c r="A5" s="64" t="s">
        <v>169</v>
      </c>
      <c r="B5" s="119"/>
      <c r="C5" s="120"/>
      <c r="D5" s="119"/>
      <c r="E5" s="120"/>
      <c r="F5" s="119"/>
      <c r="G5" s="120"/>
      <c r="H5" s="119"/>
      <c r="I5" s="120"/>
      <c r="J5" s="119"/>
      <c r="K5" s="120"/>
      <c r="L5" s="119"/>
      <c r="M5" s="120"/>
      <c r="N5" s="69" t="s">
        <v>64</v>
      </c>
      <c r="O5" s="56" t="s">
        <v>201</v>
      </c>
    </row>
    <row r="6" spans="1:17" ht="30" customHeight="1" x14ac:dyDescent="0.25">
      <c r="A6" s="55" t="s">
        <v>170</v>
      </c>
      <c r="B6" s="121" t="s">
        <v>6</v>
      </c>
      <c r="C6" s="122">
        <f>B5-C5</f>
        <v>0</v>
      </c>
      <c r="D6" s="121" t="s">
        <v>64</v>
      </c>
      <c r="E6" s="122">
        <f>D5-E5</f>
        <v>0</v>
      </c>
      <c r="F6" s="121" t="s">
        <v>64</v>
      </c>
      <c r="G6" s="122">
        <f>F5-G5</f>
        <v>0</v>
      </c>
      <c r="H6" s="121" t="s">
        <v>64</v>
      </c>
      <c r="I6" s="122">
        <f>H5-I5</f>
        <v>0</v>
      </c>
      <c r="J6" s="121" t="s">
        <v>64</v>
      </c>
      <c r="K6" s="122">
        <f>J5-K5</f>
        <v>0</v>
      </c>
      <c r="L6" s="121" t="s">
        <v>64</v>
      </c>
      <c r="M6" s="122">
        <f>L5-M5</f>
        <v>0</v>
      </c>
      <c r="N6" s="70" t="s">
        <v>64</v>
      </c>
      <c r="O6" s="56" t="s">
        <v>201</v>
      </c>
    </row>
    <row r="7" spans="1:17" ht="50.1" customHeight="1" x14ac:dyDescent="0.25">
      <c r="A7" s="66" t="s">
        <v>171</v>
      </c>
      <c r="B7" s="68" t="s">
        <v>172</v>
      </c>
      <c r="C7" s="71" t="s">
        <v>173</v>
      </c>
      <c r="D7" s="68" t="s">
        <v>174</v>
      </c>
      <c r="E7" s="71" t="s">
        <v>175</v>
      </c>
      <c r="F7" s="68" t="s">
        <v>176</v>
      </c>
      <c r="G7" s="71" t="s">
        <v>177</v>
      </c>
      <c r="H7" s="68" t="s">
        <v>178</v>
      </c>
      <c r="I7" s="71" t="s">
        <v>179</v>
      </c>
      <c r="J7" s="68" t="s">
        <v>180</v>
      </c>
      <c r="K7" s="71" t="s">
        <v>181</v>
      </c>
      <c r="L7" s="68" t="s">
        <v>182</v>
      </c>
      <c r="M7" s="71" t="s">
        <v>183</v>
      </c>
      <c r="N7" s="67" t="s">
        <v>184</v>
      </c>
      <c r="O7" s="56" t="s">
        <v>201</v>
      </c>
      <c r="P7" s="4"/>
      <c r="Q7" s="5"/>
    </row>
    <row r="8" spans="1:17" ht="20.100000000000001" customHeight="1" x14ac:dyDescent="0.25">
      <c r="A8" s="50" t="s">
        <v>185</v>
      </c>
      <c r="B8" s="202"/>
      <c r="C8" s="123">
        <f t="shared" ref="C8:C13" si="0">B8*C$6</f>
        <v>0</v>
      </c>
      <c r="D8" s="202"/>
      <c r="E8" s="123">
        <f t="shared" ref="E8:E13" si="1">D8*E$6</f>
        <v>0</v>
      </c>
      <c r="F8" s="202"/>
      <c r="G8" s="123">
        <f t="shared" ref="G8:G13" si="2">F8*G$6</f>
        <v>0</v>
      </c>
      <c r="H8" s="202"/>
      <c r="I8" s="123">
        <f t="shared" ref="I8:I13" si="3">H8*I$6</f>
        <v>0</v>
      </c>
      <c r="J8" s="202"/>
      <c r="K8" s="123">
        <f t="shared" ref="K8:K13" si="4">J8*K$6</f>
        <v>0</v>
      </c>
      <c r="L8" s="202"/>
      <c r="M8" s="123">
        <f t="shared" ref="M8:M13" si="5">L8*M$6</f>
        <v>0</v>
      </c>
      <c r="N8" s="124">
        <f>SUM(Products_sold_table[[#This Row],[Margin 
in total 1]],Products_sold_table[[#This Row],[Margin 
in total 2]],Products_sold_table[[#This Row],[Margin 
in total 3]],Products_sold_table[[#This Row],[Margin 
in total 4]],Products_sold_table[[#This Row],[Margin 
in total 5]],Products_sold_table[[#This Row],[Margin 
in total 6]])</f>
        <v>0</v>
      </c>
      <c r="O8" s="56" t="s">
        <v>201</v>
      </c>
      <c r="P8" s="4"/>
      <c r="Q8" s="5"/>
    </row>
    <row r="9" spans="1:17" ht="20.100000000000001" customHeight="1" x14ac:dyDescent="0.25">
      <c r="A9" s="51" t="s">
        <v>186</v>
      </c>
      <c r="B9" s="203"/>
      <c r="C9" s="125">
        <f t="shared" si="0"/>
        <v>0</v>
      </c>
      <c r="D9" s="203"/>
      <c r="E9" s="125">
        <f t="shared" si="1"/>
        <v>0</v>
      </c>
      <c r="F9" s="203"/>
      <c r="G9" s="125">
        <f t="shared" si="2"/>
        <v>0</v>
      </c>
      <c r="H9" s="203"/>
      <c r="I9" s="125">
        <f t="shared" si="3"/>
        <v>0</v>
      </c>
      <c r="J9" s="203"/>
      <c r="K9" s="125">
        <f t="shared" si="4"/>
        <v>0</v>
      </c>
      <c r="L9" s="203"/>
      <c r="M9" s="125">
        <f t="shared" si="5"/>
        <v>0</v>
      </c>
      <c r="N9" s="126">
        <f>SUM(Products_sold_table[[#This Row],[Margin 
in total 1]],Products_sold_table[[#This Row],[Margin 
in total 2]],Products_sold_table[[#This Row],[Margin 
in total 3]],Products_sold_table[[#This Row],[Margin 
in total 4]],Products_sold_table[[#This Row],[Margin 
in total 5]],Products_sold_table[[#This Row],[Margin 
in total 6]])</f>
        <v>0</v>
      </c>
      <c r="O9" s="56" t="s">
        <v>201</v>
      </c>
      <c r="P9" s="4"/>
      <c r="Q9" s="5"/>
    </row>
    <row r="10" spans="1:17" ht="20.100000000000001" customHeight="1" x14ac:dyDescent="0.25">
      <c r="A10" s="52" t="s">
        <v>187</v>
      </c>
      <c r="B10" s="204"/>
      <c r="C10" s="127">
        <f t="shared" si="0"/>
        <v>0</v>
      </c>
      <c r="D10" s="204"/>
      <c r="E10" s="127">
        <f t="shared" si="1"/>
        <v>0</v>
      </c>
      <c r="F10" s="204"/>
      <c r="G10" s="127">
        <f t="shared" si="2"/>
        <v>0</v>
      </c>
      <c r="H10" s="204"/>
      <c r="I10" s="127">
        <f t="shared" si="3"/>
        <v>0</v>
      </c>
      <c r="J10" s="204"/>
      <c r="K10" s="127">
        <f t="shared" si="4"/>
        <v>0</v>
      </c>
      <c r="L10" s="204"/>
      <c r="M10" s="127">
        <f t="shared" si="5"/>
        <v>0</v>
      </c>
      <c r="N10" s="128">
        <f>SUM(Products_sold_table[[#This Row],[Margin 
in total 1]],Products_sold_table[[#This Row],[Margin 
in total 2]],Products_sold_table[[#This Row],[Margin 
in total 3]],Products_sold_table[[#This Row],[Margin 
in total 4]],Products_sold_table[[#This Row],[Margin 
in total 5]],Products_sold_table[[#This Row],[Margin 
in total 6]])</f>
        <v>0</v>
      </c>
      <c r="O10" s="56" t="s">
        <v>201</v>
      </c>
      <c r="P10" s="4"/>
      <c r="Q10" s="5"/>
    </row>
    <row r="11" spans="1:17" ht="20.100000000000001" customHeight="1" x14ac:dyDescent="0.25">
      <c r="A11" s="53" t="s">
        <v>188</v>
      </c>
      <c r="B11" s="205"/>
      <c r="C11" s="129">
        <f t="shared" si="0"/>
        <v>0</v>
      </c>
      <c r="D11" s="205"/>
      <c r="E11" s="129">
        <f t="shared" si="1"/>
        <v>0</v>
      </c>
      <c r="F11" s="205"/>
      <c r="G11" s="129">
        <f t="shared" si="2"/>
        <v>0</v>
      </c>
      <c r="H11" s="205"/>
      <c r="I11" s="129">
        <f t="shared" si="3"/>
        <v>0</v>
      </c>
      <c r="J11" s="205"/>
      <c r="K11" s="129">
        <f t="shared" si="4"/>
        <v>0</v>
      </c>
      <c r="L11" s="205"/>
      <c r="M11" s="129">
        <f t="shared" si="5"/>
        <v>0</v>
      </c>
      <c r="N11" s="130">
        <f>SUM(Products_sold_table[[#This Row],[Margin 
in total 1]],Products_sold_table[[#This Row],[Margin 
in total 2]],Products_sold_table[[#This Row],[Margin 
in total 3]],Products_sold_table[[#This Row],[Margin 
in total 4]],Products_sold_table[[#This Row],[Margin 
in total 5]],Products_sold_table[[#This Row],[Margin 
in total 6]])</f>
        <v>0</v>
      </c>
      <c r="O11" s="56" t="s">
        <v>201</v>
      </c>
      <c r="P11" s="4"/>
      <c r="Q11" s="5"/>
    </row>
    <row r="12" spans="1:17" ht="20.100000000000001" customHeight="1" x14ac:dyDescent="0.25">
      <c r="A12" s="51" t="s">
        <v>189</v>
      </c>
      <c r="B12" s="203"/>
      <c r="C12" s="125">
        <f t="shared" si="0"/>
        <v>0</v>
      </c>
      <c r="D12" s="203"/>
      <c r="E12" s="125">
        <f t="shared" si="1"/>
        <v>0</v>
      </c>
      <c r="F12" s="203"/>
      <c r="G12" s="125">
        <f t="shared" si="2"/>
        <v>0</v>
      </c>
      <c r="H12" s="203"/>
      <c r="I12" s="125">
        <f t="shared" si="3"/>
        <v>0</v>
      </c>
      <c r="J12" s="203"/>
      <c r="K12" s="125">
        <f t="shared" si="4"/>
        <v>0</v>
      </c>
      <c r="L12" s="203"/>
      <c r="M12" s="125">
        <f t="shared" si="5"/>
        <v>0</v>
      </c>
      <c r="N12" s="126">
        <f>SUM(Products_sold_table[[#This Row],[Margin 
in total 1]],Products_sold_table[[#This Row],[Margin 
in total 2]],Products_sold_table[[#This Row],[Margin 
in total 3]],Products_sold_table[[#This Row],[Margin 
in total 4]],Products_sold_table[[#This Row],[Margin 
in total 5]],Products_sold_table[[#This Row],[Margin 
in total 6]])</f>
        <v>0</v>
      </c>
      <c r="O12" s="56" t="s">
        <v>201</v>
      </c>
      <c r="P12" s="4"/>
      <c r="Q12" s="5"/>
    </row>
    <row r="13" spans="1:17" ht="20.100000000000001" customHeight="1" thickBot="1" x14ac:dyDescent="0.3">
      <c r="A13" s="54" t="s">
        <v>190</v>
      </c>
      <c r="B13" s="206"/>
      <c r="C13" s="127">
        <f t="shared" si="0"/>
        <v>0</v>
      </c>
      <c r="D13" s="206"/>
      <c r="E13" s="127">
        <f t="shared" si="1"/>
        <v>0</v>
      </c>
      <c r="F13" s="206"/>
      <c r="G13" s="127">
        <f t="shared" si="2"/>
        <v>0</v>
      </c>
      <c r="H13" s="206"/>
      <c r="I13" s="127">
        <f t="shared" si="3"/>
        <v>0</v>
      </c>
      <c r="J13" s="206"/>
      <c r="K13" s="127">
        <f t="shared" si="4"/>
        <v>0</v>
      </c>
      <c r="L13" s="206"/>
      <c r="M13" s="127">
        <f t="shared" si="5"/>
        <v>0</v>
      </c>
      <c r="N13" s="128">
        <f>SUM(Products_sold_table[[#This Row],[Margin 
in total 1]],Products_sold_table[[#This Row],[Margin 
in total 2]],Products_sold_table[[#This Row],[Margin 
in total 3]],Products_sold_table[[#This Row],[Margin 
in total 4]],Products_sold_table[[#This Row],[Margin 
in total 5]],Products_sold_table[[#This Row],[Margin 
in total 6]])</f>
        <v>0</v>
      </c>
      <c r="O13" s="56" t="s">
        <v>201</v>
      </c>
      <c r="P13" s="4"/>
      <c r="Q13" s="5"/>
    </row>
    <row r="14" spans="1:17" ht="30" customHeight="1" thickBot="1" x14ac:dyDescent="0.3">
      <c r="A14" s="176" t="s">
        <v>191</v>
      </c>
      <c r="B14" s="208">
        <f>SUM(B8:B13)</f>
        <v>0</v>
      </c>
      <c r="C14" s="177" t="s">
        <v>64</v>
      </c>
      <c r="D14" s="208">
        <f t="shared" ref="D14:L14" si="6">SUM(D8:D13)</f>
        <v>0</v>
      </c>
      <c r="E14" s="177" t="s">
        <v>64</v>
      </c>
      <c r="F14" s="208">
        <f t="shared" si="6"/>
        <v>0</v>
      </c>
      <c r="G14" s="177" t="s">
        <v>64</v>
      </c>
      <c r="H14" s="208">
        <f t="shared" si="6"/>
        <v>0</v>
      </c>
      <c r="I14" s="177" t="s">
        <v>64</v>
      </c>
      <c r="J14" s="208">
        <f t="shared" si="6"/>
        <v>0</v>
      </c>
      <c r="K14" s="177" t="s">
        <v>64</v>
      </c>
      <c r="L14" s="207">
        <f t="shared" si="6"/>
        <v>0</v>
      </c>
      <c r="M14" s="177" t="s">
        <v>64</v>
      </c>
      <c r="N14" s="178" t="str">
        <f>CONCATENATE(SUM(Products_sold_table[[#This Row],[Quantity 1]],Products_sold_table[[#This Row],[Quantity 2]],Products_sold_table[[#This Row],[Quantity 3]],Products_sold_table[[#This Row],[Quantity 4]],Products_sold_table[[#This Row],[Quantity 5]],Products_sold_table[[#This Row],[Quantity 6]])," products")</f>
        <v>0 products</v>
      </c>
      <c r="O14" s="56" t="s">
        <v>201</v>
      </c>
      <c r="P14" s="4"/>
      <c r="Q14" s="5"/>
    </row>
    <row r="15" spans="1:17" ht="30" customHeight="1" thickBot="1" x14ac:dyDescent="0.3">
      <c r="A15" s="176" t="s">
        <v>192</v>
      </c>
      <c r="B15" s="179" t="s">
        <v>64</v>
      </c>
      <c r="C15" s="122">
        <f>SUM(C8:C13)</f>
        <v>0</v>
      </c>
      <c r="D15" s="179" t="s">
        <v>64</v>
      </c>
      <c r="E15" s="122">
        <f>SUM(E8:E13)</f>
        <v>0</v>
      </c>
      <c r="F15" s="179" t="s">
        <v>64</v>
      </c>
      <c r="G15" s="122">
        <f>SUM(G8:G13)</f>
        <v>0</v>
      </c>
      <c r="H15" s="179" t="s">
        <v>64</v>
      </c>
      <c r="I15" s="122">
        <f>SUM(I8:I13)</f>
        <v>0</v>
      </c>
      <c r="J15" s="179" t="s">
        <v>64</v>
      </c>
      <c r="K15" s="122">
        <f>SUM(K8:K13)</f>
        <v>0</v>
      </c>
      <c r="L15" s="179" t="s">
        <v>64</v>
      </c>
      <c r="M15" s="122">
        <f>SUM(M8:M13)</f>
        <v>0</v>
      </c>
      <c r="N15" s="180">
        <f>SUM(Products_sold_table[[#This Row],[Margin 
in total 1]],Products_sold_table[[#This Row],[Margin 
in total 2]],Products_sold_table[[#This Row],[Margin 
in total 3]],Products_sold_table[[#This Row],[Margin 
in total 4]],Products_sold_table[[#This Row],[Margin 
in total 5]],Products_sold_table[[#This Row],[Margin 
in total 6]])</f>
        <v>0</v>
      </c>
      <c r="O15" s="56" t="s">
        <v>201</v>
      </c>
    </row>
    <row r="16" spans="1:17" ht="30" customHeight="1" thickBot="1" x14ac:dyDescent="0.3">
      <c r="A16" s="181" t="s">
        <v>193</v>
      </c>
      <c r="B16" s="179" t="s">
        <v>64</v>
      </c>
      <c r="C16" s="122">
        <f>B14*B5</f>
        <v>0</v>
      </c>
      <c r="D16" s="179" t="s">
        <v>64</v>
      </c>
      <c r="E16" s="122">
        <f>D14*D5</f>
        <v>0</v>
      </c>
      <c r="F16" s="179" t="s">
        <v>64</v>
      </c>
      <c r="G16" s="122">
        <f>F14*F5</f>
        <v>0</v>
      </c>
      <c r="H16" s="179" t="s">
        <v>64</v>
      </c>
      <c r="I16" s="122">
        <f>H14*H5</f>
        <v>0</v>
      </c>
      <c r="J16" s="179" t="s">
        <v>64</v>
      </c>
      <c r="K16" s="122">
        <f>J14*J5</f>
        <v>0</v>
      </c>
      <c r="L16" s="179" t="s">
        <v>64</v>
      </c>
      <c r="M16" s="122">
        <f>L14*L5</f>
        <v>0</v>
      </c>
      <c r="N16" s="180">
        <f>SUM(Products_sold_table[[#This Row],[Margin 
in total 1]],Products_sold_table[[#This Row],[Margin 
in total 2]],Products_sold_table[[#This Row],[Margin 
in total 3]],Products_sold_table[[#This Row],[Margin 
in total 4]],Products_sold_table[[#This Row],[Margin 
in total 5]],Products_sold_table[[#This Row],[Margin 
in total 6]])</f>
        <v>0</v>
      </c>
      <c r="O16" s="56" t="s">
        <v>201</v>
      </c>
    </row>
    <row r="17" spans="1:15" ht="30" customHeight="1" thickBot="1" x14ac:dyDescent="0.3">
      <c r="A17" s="182" t="s">
        <v>194</v>
      </c>
      <c r="B17" s="179" t="s">
        <v>64</v>
      </c>
      <c r="C17" s="122">
        <f>B14*C5</f>
        <v>0</v>
      </c>
      <c r="D17" s="179" t="s">
        <v>64</v>
      </c>
      <c r="E17" s="122">
        <f>D14*E5</f>
        <v>0</v>
      </c>
      <c r="F17" s="179" t="s">
        <v>64</v>
      </c>
      <c r="G17" s="122">
        <f>F14*G5</f>
        <v>0</v>
      </c>
      <c r="H17" s="179" t="s">
        <v>64</v>
      </c>
      <c r="I17" s="122">
        <f>H14*I5</f>
        <v>0</v>
      </c>
      <c r="J17" s="179" t="s">
        <v>64</v>
      </c>
      <c r="K17" s="122">
        <f>J14*K5</f>
        <v>0</v>
      </c>
      <c r="L17" s="183" t="s">
        <v>64</v>
      </c>
      <c r="M17" s="122">
        <f>L14*M5</f>
        <v>0</v>
      </c>
      <c r="N17" s="180">
        <f>SUM(Products_sold_table[[#This Row],[Margin 
in total 1]],Products_sold_table[[#This Row],[Margin 
in total 2]],Products_sold_table[[#This Row],[Margin 
in total 3]],Products_sold_table[[#This Row],[Margin 
in total 4]],Products_sold_table[[#This Row],[Margin 
in total 5]],Products_sold_table[[#This Row],[Margin 
in total 6]])</f>
        <v>0</v>
      </c>
      <c r="O17" s="56" t="s">
        <v>201</v>
      </c>
    </row>
    <row r="18" spans="1:15" ht="30" customHeight="1" x14ac:dyDescent="0.25">
      <c r="A18" s="184" t="s">
        <v>195</v>
      </c>
      <c r="B18" s="185" t="s">
        <v>72</v>
      </c>
      <c r="C18" s="186" t="s">
        <v>196</v>
      </c>
      <c r="D18" s="39" t="s">
        <v>64</v>
      </c>
      <c r="E18" s="39" t="s">
        <v>64</v>
      </c>
      <c r="F18" s="39" t="s">
        <v>64</v>
      </c>
      <c r="G18" s="39" t="s">
        <v>64</v>
      </c>
      <c r="H18" s="39" t="s">
        <v>64</v>
      </c>
      <c r="I18" s="39" t="s">
        <v>64</v>
      </c>
      <c r="J18" s="39" t="s">
        <v>64</v>
      </c>
      <c r="K18" s="39" t="s">
        <v>64</v>
      </c>
      <c r="L18" s="39" t="s">
        <v>64</v>
      </c>
      <c r="M18" s="39" t="s">
        <v>64</v>
      </c>
      <c r="N18" s="39" t="s">
        <v>64</v>
      </c>
      <c r="O18" s="56" t="s">
        <v>201</v>
      </c>
    </row>
    <row r="19" spans="1:15" ht="20.100000000000001" customHeight="1" x14ac:dyDescent="0.25">
      <c r="A19" s="187" t="s">
        <v>197</v>
      </c>
      <c r="B19" s="108">
        <f>N16</f>
        <v>0</v>
      </c>
      <c r="C19" s="94">
        <f>Summary_of_sales_table[[#This Row],[Per month]]*12</f>
        <v>0</v>
      </c>
      <c r="D19" s="39" t="s">
        <v>64</v>
      </c>
      <c r="E19" s="39" t="s">
        <v>64</v>
      </c>
      <c r="F19" s="39" t="s">
        <v>64</v>
      </c>
      <c r="G19" s="39" t="s">
        <v>64</v>
      </c>
      <c r="H19" s="39" t="s">
        <v>64</v>
      </c>
      <c r="I19" s="39" t="s">
        <v>64</v>
      </c>
      <c r="J19" s="39" t="s">
        <v>64</v>
      </c>
      <c r="K19" s="39" t="s">
        <v>64</v>
      </c>
      <c r="L19" s="39" t="s">
        <v>64</v>
      </c>
      <c r="M19" s="39" t="s">
        <v>64</v>
      </c>
      <c r="N19" s="39" t="s">
        <v>64</v>
      </c>
      <c r="O19" s="56" t="s">
        <v>201</v>
      </c>
    </row>
    <row r="20" spans="1:15" ht="20.100000000000001" customHeight="1" x14ac:dyDescent="0.25">
      <c r="A20" s="188" t="s">
        <v>194</v>
      </c>
      <c r="B20" s="110">
        <f>N17</f>
        <v>0</v>
      </c>
      <c r="C20" s="96">
        <f>Summary_of_sales_table[[#This Row],[Per month]]*12</f>
        <v>0</v>
      </c>
      <c r="D20" s="39" t="s">
        <v>64</v>
      </c>
      <c r="E20" s="39" t="s">
        <v>64</v>
      </c>
      <c r="F20" s="39" t="s">
        <v>64</v>
      </c>
      <c r="G20" s="39" t="s">
        <v>64</v>
      </c>
      <c r="H20" s="39" t="s">
        <v>64</v>
      </c>
      <c r="I20" s="39" t="s">
        <v>64</v>
      </c>
      <c r="J20" s="39" t="s">
        <v>64</v>
      </c>
      <c r="K20" s="39" t="s">
        <v>64</v>
      </c>
      <c r="L20" s="39" t="s">
        <v>64</v>
      </c>
      <c r="M20" s="39" t="s">
        <v>64</v>
      </c>
      <c r="N20" s="39" t="s">
        <v>64</v>
      </c>
      <c r="O20" s="56" t="s">
        <v>201</v>
      </c>
    </row>
    <row r="21" spans="1:15" ht="20.100000000000001" customHeight="1" x14ac:dyDescent="0.25">
      <c r="A21" s="188" t="s">
        <v>192</v>
      </c>
      <c r="B21" s="110">
        <f>N15</f>
        <v>0</v>
      </c>
      <c r="C21" s="96">
        <f>Summary_of_sales_table[[#This Row],[Per month]]*12</f>
        <v>0</v>
      </c>
      <c r="D21" s="39" t="s">
        <v>64</v>
      </c>
      <c r="E21" s="39" t="s">
        <v>64</v>
      </c>
      <c r="F21" s="39" t="s">
        <v>64</v>
      </c>
      <c r="G21" s="39" t="s">
        <v>64</v>
      </c>
      <c r="H21" s="39" t="s">
        <v>64</v>
      </c>
      <c r="I21" s="39" t="s">
        <v>64</v>
      </c>
      <c r="J21" s="39" t="s">
        <v>64</v>
      </c>
      <c r="K21" s="39" t="s">
        <v>64</v>
      </c>
      <c r="L21" s="39" t="s">
        <v>64</v>
      </c>
      <c r="M21" s="39" t="s">
        <v>64</v>
      </c>
      <c r="N21" s="39" t="s">
        <v>64</v>
      </c>
      <c r="O21" s="56" t="s">
        <v>201</v>
      </c>
    </row>
    <row r="22" spans="1:15" ht="20.100000000000001" customHeight="1" x14ac:dyDescent="0.25">
      <c r="A22" s="189" t="s">
        <v>198</v>
      </c>
      <c r="B22" s="109">
        <f>'Profitability calculation'!B40</f>
        <v>0</v>
      </c>
      <c r="C22" s="96">
        <f>Summary_of_sales_table[[#This Row],[Per month]]*12</f>
        <v>0</v>
      </c>
      <c r="D22" s="39" t="s">
        <v>64</v>
      </c>
      <c r="E22" s="39" t="s">
        <v>64</v>
      </c>
      <c r="F22" s="39" t="s">
        <v>64</v>
      </c>
      <c r="G22" s="39" t="s">
        <v>64</v>
      </c>
      <c r="H22" s="39" t="s">
        <v>64</v>
      </c>
      <c r="I22" s="39" t="s">
        <v>64</v>
      </c>
      <c r="J22" s="39" t="s">
        <v>64</v>
      </c>
      <c r="K22" s="39" t="s">
        <v>64</v>
      </c>
      <c r="L22" s="39" t="s">
        <v>64</v>
      </c>
      <c r="M22" s="39" t="s">
        <v>64</v>
      </c>
      <c r="N22" s="39" t="s">
        <v>64</v>
      </c>
      <c r="O22" s="56" t="s">
        <v>201</v>
      </c>
    </row>
    <row r="23" spans="1:15" ht="45" customHeight="1" x14ac:dyDescent="0.25">
      <c r="A23" s="189" t="s">
        <v>199</v>
      </c>
      <c r="B23" s="110">
        <f>B21-B22</f>
        <v>0</v>
      </c>
      <c r="C23" s="190" t="s">
        <v>64</v>
      </c>
      <c r="D23" s="39" t="s">
        <v>64</v>
      </c>
      <c r="E23" s="39" t="s">
        <v>64</v>
      </c>
      <c r="F23" s="39" t="s">
        <v>64</v>
      </c>
      <c r="G23" s="39" t="s">
        <v>64</v>
      </c>
      <c r="H23" s="39" t="s">
        <v>64</v>
      </c>
      <c r="I23" s="39" t="s">
        <v>64</v>
      </c>
      <c r="J23" s="39" t="s">
        <v>64</v>
      </c>
      <c r="K23" s="39" t="s">
        <v>64</v>
      </c>
      <c r="L23" s="39" t="s">
        <v>64</v>
      </c>
      <c r="M23" s="39" t="s">
        <v>64</v>
      </c>
      <c r="N23" s="39" t="s">
        <v>64</v>
      </c>
      <c r="O23" s="56" t="s">
        <v>201</v>
      </c>
    </row>
    <row r="24" spans="1:15" ht="45" customHeight="1" x14ac:dyDescent="0.25">
      <c r="A24" s="191" t="s">
        <v>200</v>
      </c>
      <c r="B24" s="199" t="str">
        <f>IF(B21=0,"Total sales " &amp; CHAR(10) &amp; "margin 0 €",IF(B21&gt;B22,B23/B19,"Insufficient sales margin"))</f>
        <v>Total sales 
margin 0 €</v>
      </c>
      <c r="C24" s="192" t="s">
        <v>64</v>
      </c>
      <c r="D24" s="39" t="s">
        <v>64</v>
      </c>
      <c r="E24" s="39" t="s">
        <v>64</v>
      </c>
      <c r="F24" s="39" t="s">
        <v>64</v>
      </c>
      <c r="G24" s="39" t="s">
        <v>64</v>
      </c>
      <c r="H24" s="39" t="s">
        <v>64</v>
      </c>
      <c r="I24" s="39" t="s">
        <v>64</v>
      </c>
      <c r="J24" s="39" t="s">
        <v>64</v>
      </c>
      <c r="K24" s="39" t="s">
        <v>64</v>
      </c>
      <c r="L24" s="39" t="s">
        <v>64</v>
      </c>
      <c r="M24" s="39" t="s">
        <v>64</v>
      </c>
      <c r="N24" s="39" t="s">
        <v>64</v>
      </c>
      <c r="O24" s="56" t="s">
        <v>201</v>
      </c>
    </row>
    <row r="25" spans="1:15" ht="18.75" x14ac:dyDescent="0.25">
      <c r="A25" s="174" t="s">
        <v>7</v>
      </c>
      <c r="B25" s="172" t="s">
        <v>64</v>
      </c>
      <c r="C25" s="172" t="s">
        <v>64</v>
      </c>
      <c r="D25" s="39" t="s">
        <v>64</v>
      </c>
      <c r="E25" s="39" t="s">
        <v>64</v>
      </c>
      <c r="F25" s="39" t="s">
        <v>64</v>
      </c>
      <c r="G25" s="39" t="s">
        <v>64</v>
      </c>
      <c r="H25" s="39" t="s">
        <v>64</v>
      </c>
      <c r="I25" s="39" t="s">
        <v>64</v>
      </c>
      <c r="J25" s="39" t="s">
        <v>64</v>
      </c>
      <c r="K25" s="39" t="s">
        <v>64</v>
      </c>
      <c r="L25" s="39" t="s">
        <v>64</v>
      </c>
      <c r="M25" s="39" t="s">
        <v>64</v>
      </c>
      <c r="N25" s="39" t="s">
        <v>64</v>
      </c>
      <c r="O25" s="56" t="s">
        <v>201</v>
      </c>
    </row>
    <row r="26" spans="1:15" ht="3.95" customHeight="1" x14ac:dyDescent="0.25">
      <c r="A26" s="56" t="s">
        <v>202</v>
      </c>
      <c r="B26" s="56" t="s">
        <v>202</v>
      </c>
      <c r="C26" s="56" t="s">
        <v>202</v>
      </c>
      <c r="D26" s="56" t="s">
        <v>202</v>
      </c>
      <c r="E26" s="56" t="s">
        <v>202</v>
      </c>
      <c r="F26" s="56" t="s">
        <v>202</v>
      </c>
      <c r="G26" s="56" t="s">
        <v>202</v>
      </c>
      <c r="H26" s="56" t="s">
        <v>202</v>
      </c>
      <c r="I26" s="56" t="s">
        <v>202</v>
      </c>
      <c r="J26" s="56" t="s">
        <v>202</v>
      </c>
      <c r="K26" s="56" t="s">
        <v>202</v>
      </c>
      <c r="L26" s="56" t="s">
        <v>202</v>
      </c>
      <c r="M26" s="56" t="s">
        <v>202</v>
      </c>
      <c r="N26" s="56" t="s">
        <v>202</v>
      </c>
      <c r="O26" s="56" t="s">
        <v>202</v>
      </c>
    </row>
    <row r="27" spans="1:15" x14ac:dyDescent="0.25">
      <c r="A27" s="92"/>
      <c r="B27" s="5"/>
      <c r="C27" s="5"/>
      <c r="D27" s="5"/>
      <c r="E27" s="5"/>
      <c r="F27" s="5"/>
      <c r="G27" s="5"/>
      <c r="H27" s="5"/>
      <c r="I27" s="5"/>
      <c r="J27" s="5"/>
    </row>
    <row r="28" spans="1:15" x14ac:dyDescent="0.25">
      <c r="A28" s="5"/>
      <c r="B28" s="5"/>
      <c r="C28" s="5"/>
      <c r="D28" s="5"/>
      <c r="E28" s="5"/>
      <c r="F28" s="5"/>
      <c r="G28" s="5"/>
      <c r="H28" s="5"/>
      <c r="I28" s="5"/>
      <c r="J28" s="5"/>
    </row>
    <row r="29" spans="1:15" x14ac:dyDescent="0.25">
      <c r="A29" s="5"/>
      <c r="B29" s="5"/>
      <c r="C29" s="5"/>
      <c r="D29" s="5"/>
      <c r="E29" s="5"/>
      <c r="F29" s="5"/>
      <c r="G29" s="5"/>
      <c r="H29" s="5"/>
      <c r="I29" s="5"/>
      <c r="J29" s="5"/>
    </row>
    <row r="30" spans="1:15" x14ac:dyDescent="0.25">
      <c r="D30" s="5"/>
      <c r="E30" s="5"/>
      <c r="F30" s="5"/>
      <c r="G30" s="5"/>
      <c r="H30" s="5"/>
      <c r="I30" s="5"/>
      <c r="J30" s="5"/>
    </row>
    <row r="31" spans="1:15" x14ac:dyDescent="0.25">
      <c r="D31" s="5"/>
      <c r="E31" s="5"/>
      <c r="F31" s="5"/>
      <c r="G31" s="5"/>
      <c r="H31" s="5"/>
    </row>
  </sheetData>
  <sheetProtection sheet="1" objects="1" scenarios="1"/>
  <mergeCells count="6">
    <mergeCell ref="L3:M3"/>
    <mergeCell ref="B3:C3"/>
    <mergeCell ref="D3:E3"/>
    <mergeCell ref="F3:G3"/>
    <mergeCell ref="H3:I3"/>
    <mergeCell ref="J3:K3"/>
  </mergeCells>
  <phoneticPr fontId="13" type="noConversion"/>
  <pageMargins left="0.7" right="0.7" top="0.75" bottom="0.75" header="0.3" footer="0.3"/>
  <pageSetup paperSize="9" orientation="portrait" horizontalDpi="0" verticalDpi="0"/>
  <drawing r:id="rId1"/>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CF083-D7DF-F747-85FF-2A751224AEEE}">
  <dimension ref="A1:NZ47"/>
  <sheetViews>
    <sheetView zoomScale="80" zoomScaleNormal="80" workbookViewId="0">
      <selection activeCell="G2" sqref="G2"/>
    </sheetView>
  </sheetViews>
  <sheetFormatPr defaultColWidth="10.875" defaultRowHeight="18" x14ac:dyDescent="0.25"/>
  <cols>
    <col min="1" max="1" width="73.875" style="2" customWidth="1"/>
    <col min="2" max="15" width="23.875" style="2" customWidth="1"/>
    <col min="16" max="16" width="0.625" style="2" customWidth="1"/>
    <col min="17" max="16384" width="10.875" style="2"/>
  </cols>
  <sheetData>
    <row r="1" spans="1:20" ht="60" customHeight="1" x14ac:dyDescent="0.25">
      <c r="A1" s="56" t="s">
        <v>203</v>
      </c>
      <c r="B1" s="39" t="s">
        <v>64</v>
      </c>
      <c r="C1" s="39" t="s">
        <v>64</v>
      </c>
      <c r="D1" s="39" t="s">
        <v>64</v>
      </c>
      <c r="E1" s="39" t="s">
        <v>64</v>
      </c>
      <c r="F1" s="39" t="s">
        <v>64</v>
      </c>
      <c r="G1" s="39" t="s">
        <v>64</v>
      </c>
      <c r="H1" s="39" t="s">
        <v>64</v>
      </c>
      <c r="I1" s="39" t="s">
        <v>64</v>
      </c>
      <c r="J1" s="39" t="s">
        <v>64</v>
      </c>
      <c r="K1" s="39" t="s">
        <v>64</v>
      </c>
      <c r="L1" s="39" t="s">
        <v>64</v>
      </c>
      <c r="M1" s="39" t="s">
        <v>64</v>
      </c>
      <c r="N1" s="39" t="s">
        <v>64</v>
      </c>
      <c r="O1" s="39" t="s">
        <v>64</v>
      </c>
      <c r="P1" s="56" t="s">
        <v>258</v>
      </c>
      <c r="Q1" s="4"/>
    </row>
    <row r="2" spans="1:20" ht="30" customHeight="1" x14ac:dyDescent="0.25">
      <c r="A2" s="1" t="s">
        <v>204</v>
      </c>
      <c r="B2" s="39" t="s">
        <v>64</v>
      </c>
      <c r="C2" s="39" t="s">
        <v>64</v>
      </c>
      <c r="D2" s="39" t="s">
        <v>64</v>
      </c>
      <c r="E2" s="39" t="s">
        <v>64</v>
      </c>
      <c r="F2" s="39" t="s">
        <v>64</v>
      </c>
      <c r="G2" s="39" t="s">
        <v>64</v>
      </c>
      <c r="H2" s="39" t="s">
        <v>64</v>
      </c>
      <c r="I2" s="39" t="s">
        <v>64</v>
      </c>
      <c r="J2" s="39" t="s">
        <v>64</v>
      </c>
      <c r="K2" s="39" t="s">
        <v>64</v>
      </c>
      <c r="L2" s="39" t="s">
        <v>64</v>
      </c>
      <c r="M2" s="39" t="s">
        <v>64</v>
      </c>
      <c r="N2" s="39" t="s">
        <v>64</v>
      </c>
      <c r="O2" s="39" t="s">
        <v>64</v>
      </c>
      <c r="P2" s="56" t="s">
        <v>258</v>
      </c>
      <c r="Q2" s="4"/>
      <c r="R2" s="5"/>
      <c r="S2" s="5"/>
      <c r="T2" s="5"/>
    </row>
    <row r="3" spans="1:20" ht="24.95" customHeight="1" x14ac:dyDescent="0.25">
      <c r="A3" s="2" t="s">
        <v>205</v>
      </c>
      <c r="B3" s="39" t="s">
        <v>64</v>
      </c>
      <c r="C3" s="39" t="s">
        <v>64</v>
      </c>
      <c r="D3" s="39" t="s">
        <v>64</v>
      </c>
      <c r="E3" s="39" t="s">
        <v>64</v>
      </c>
      <c r="F3" s="39" t="s">
        <v>64</v>
      </c>
      <c r="G3" s="39" t="s">
        <v>64</v>
      </c>
      <c r="H3" s="39" t="s">
        <v>64</v>
      </c>
      <c r="I3" s="39" t="s">
        <v>64</v>
      </c>
      <c r="J3" s="39" t="s">
        <v>64</v>
      </c>
      <c r="K3" s="39" t="s">
        <v>64</v>
      </c>
      <c r="L3" s="39" t="s">
        <v>64</v>
      </c>
      <c r="M3" s="39" t="s">
        <v>64</v>
      </c>
      <c r="N3" s="39" t="s">
        <v>64</v>
      </c>
      <c r="O3" s="39" t="s">
        <v>64</v>
      </c>
      <c r="P3" s="56" t="s">
        <v>258</v>
      </c>
      <c r="Q3" s="4"/>
      <c r="R3" s="5"/>
      <c r="S3" s="5"/>
      <c r="T3" s="5"/>
    </row>
    <row r="4" spans="1:20" ht="18.75" x14ac:dyDescent="0.25">
      <c r="A4" s="6" t="s">
        <v>206</v>
      </c>
      <c r="B4" s="39" t="s">
        <v>64</v>
      </c>
      <c r="C4" s="39" t="s">
        <v>64</v>
      </c>
      <c r="D4" s="39" t="s">
        <v>64</v>
      </c>
      <c r="E4" s="39" t="s">
        <v>64</v>
      </c>
      <c r="F4" s="39" t="s">
        <v>64</v>
      </c>
      <c r="G4" s="39" t="s">
        <v>64</v>
      </c>
      <c r="H4" s="39" t="s">
        <v>64</v>
      </c>
      <c r="I4" s="39" t="s">
        <v>64</v>
      </c>
      <c r="J4" s="39" t="s">
        <v>64</v>
      </c>
      <c r="K4" s="39" t="s">
        <v>64</v>
      </c>
      <c r="L4" s="39" t="s">
        <v>64</v>
      </c>
      <c r="M4" s="39" t="s">
        <v>64</v>
      </c>
      <c r="N4" s="39" t="s">
        <v>64</v>
      </c>
      <c r="O4" s="39" t="s">
        <v>64</v>
      </c>
      <c r="P4" s="56" t="s">
        <v>258</v>
      </c>
      <c r="Q4" s="4"/>
      <c r="R4" s="5"/>
      <c r="S4" s="5"/>
      <c r="T4" s="5"/>
    </row>
    <row r="5" spans="1:20" ht="30" customHeight="1" x14ac:dyDescent="0.25">
      <c r="A5" s="157">
        <v>25.5</v>
      </c>
      <c r="B5" s="39" t="s">
        <v>64</v>
      </c>
      <c r="C5" s="39" t="s">
        <v>64</v>
      </c>
      <c r="D5" s="39" t="s">
        <v>64</v>
      </c>
      <c r="E5" s="39" t="s">
        <v>64</v>
      </c>
      <c r="F5" s="39" t="s">
        <v>64</v>
      </c>
      <c r="G5" s="39" t="s">
        <v>64</v>
      </c>
      <c r="H5" s="39" t="s">
        <v>64</v>
      </c>
      <c r="I5" s="39" t="s">
        <v>64</v>
      </c>
      <c r="J5" s="39" t="s">
        <v>64</v>
      </c>
      <c r="K5" s="39" t="s">
        <v>64</v>
      </c>
      <c r="L5" s="39" t="s">
        <v>64</v>
      </c>
      <c r="M5" s="39" t="s">
        <v>64</v>
      </c>
      <c r="N5" s="39" t="s">
        <v>64</v>
      </c>
      <c r="O5" s="39" t="s">
        <v>64</v>
      </c>
      <c r="P5" s="56" t="s">
        <v>258</v>
      </c>
      <c r="Q5" s="4"/>
      <c r="R5" s="5"/>
      <c r="S5" s="5"/>
      <c r="T5" s="5"/>
    </row>
    <row r="6" spans="1:20" ht="18.75" x14ac:dyDescent="0.25">
      <c r="A6" s="6" t="s">
        <v>207</v>
      </c>
      <c r="B6" s="39" t="s">
        <v>64</v>
      </c>
      <c r="C6" s="39" t="s">
        <v>64</v>
      </c>
      <c r="D6" s="39" t="s">
        <v>64</v>
      </c>
      <c r="E6" s="39" t="s">
        <v>64</v>
      </c>
      <c r="F6" s="39" t="s">
        <v>64</v>
      </c>
      <c r="G6" s="39" t="s">
        <v>64</v>
      </c>
      <c r="H6" s="39" t="s">
        <v>64</v>
      </c>
      <c r="I6" s="39" t="s">
        <v>64</v>
      </c>
      <c r="J6" s="39" t="s">
        <v>64</v>
      </c>
      <c r="K6" s="39" t="s">
        <v>64</v>
      </c>
      <c r="L6" s="39" t="s">
        <v>64</v>
      </c>
      <c r="M6" s="39" t="s">
        <v>64</v>
      </c>
      <c r="N6" s="39" t="s">
        <v>64</v>
      </c>
      <c r="O6" s="39" t="s">
        <v>64</v>
      </c>
      <c r="P6" s="56" t="s">
        <v>258</v>
      </c>
      <c r="Q6" s="4"/>
      <c r="R6" s="5"/>
      <c r="S6" s="5"/>
      <c r="T6" s="5"/>
    </row>
    <row r="7" spans="1:20" ht="39.950000000000003" customHeight="1" x14ac:dyDescent="0.25">
      <c r="A7" s="42">
        <v>46023</v>
      </c>
      <c r="B7" s="43" t="s">
        <v>216</v>
      </c>
      <c r="C7" s="43" t="str">
        <f>UPPER(TEXT(Financial_year_start,"[$-0809]kkk"))</f>
        <v>JAN</v>
      </c>
      <c r="D7" s="43" t="str">
        <f>UPPER(TEXT(EOMONTH(Financial_year_start,1),"[$-0809]kkk"))</f>
        <v>FEB</v>
      </c>
      <c r="E7" s="43" t="str">
        <f>UPPER(TEXT(EOMONTH(Financial_year_start,2),"[$-0809]kkk"))</f>
        <v>MAR</v>
      </c>
      <c r="F7" s="43" t="str">
        <f>UPPER(TEXT(EOMONTH(Financial_year_start,3),"[$-0809]kkk"))</f>
        <v>APR</v>
      </c>
      <c r="G7" s="43" t="str">
        <f>UPPER(TEXT(EOMONTH(Financial_year_start,4),"[$-0809]kkk"))</f>
        <v>MAY</v>
      </c>
      <c r="H7" s="43" t="str">
        <f>UPPER(TEXT(EOMONTH(Financial_year_start,5),"[$-0809]kkk"))</f>
        <v>JUN</v>
      </c>
      <c r="I7" s="43" t="str">
        <f>UPPER(TEXT(EOMONTH(Financial_year_start,6),"[$-0809]kkk"))</f>
        <v>JUL</v>
      </c>
      <c r="J7" s="43" t="str">
        <f>UPPER(TEXT(EOMONTH(Financial_year_start,7),"[$-0809]kkk"))</f>
        <v>AUG</v>
      </c>
      <c r="K7" s="43" t="str">
        <f>UPPER(TEXT(EOMONTH(Financial_year_start,8),"[$-0809]kkk"))</f>
        <v>SEP</v>
      </c>
      <c r="L7" s="43" t="str">
        <f>UPPER(TEXT(EOMONTH(Financial_year_start,9),"[$-0809]kkk"))</f>
        <v>OCT</v>
      </c>
      <c r="M7" s="43" t="str">
        <f>UPPER(TEXT(EOMONTH(Financial_year_start,10),"[$-0809]kkk"))</f>
        <v>NOV</v>
      </c>
      <c r="N7" s="43" t="str">
        <f>UPPER(TEXT(EOMONTH(Financial_year_start,11),"[$-0809]kkk"))</f>
        <v>DEC</v>
      </c>
      <c r="O7" s="43" t="s">
        <v>230</v>
      </c>
      <c r="P7" s="56" t="s">
        <v>258</v>
      </c>
      <c r="Q7" s="4"/>
      <c r="R7" s="5"/>
      <c r="S7" s="5"/>
      <c r="T7" s="5"/>
    </row>
    <row r="8" spans="1:20" ht="30" customHeight="1" x14ac:dyDescent="0.25">
      <c r="A8" s="44" t="s">
        <v>208</v>
      </c>
      <c r="B8" s="26" t="s">
        <v>217</v>
      </c>
      <c r="C8" s="26" t="s">
        <v>218</v>
      </c>
      <c r="D8" s="26" t="s">
        <v>219</v>
      </c>
      <c r="E8" s="26" t="s">
        <v>220</v>
      </c>
      <c r="F8" s="26" t="s">
        <v>221</v>
      </c>
      <c r="G8" s="26" t="s">
        <v>222</v>
      </c>
      <c r="H8" s="26" t="s">
        <v>223</v>
      </c>
      <c r="I8" s="26" t="s">
        <v>224</v>
      </c>
      <c r="J8" s="26" t="s">
        <v>225</v>
      </c>
      <c r="K8" s="26" t="s">
        <v>226</v>
      </c>
      <c r="L8" s="26" t="s">
        <v>227</v>
      </c>
      <c r="M8" s="26" t="s">
        <v>228</v>
      </c>
      <c r="N8" s="26" t="s">
        <v>229</v>
      </c>
      <c r="O8" s="27" t="s">
        <v>214</v>
      </c>
      <c r="P8" s="56" t="s">
        <v>258</v>
      </c>
      <c r="Q8" s="4"/>
      <c r="R8" s="5"/>
      <c r="S8" s="5"/>
      <c r="T8" s="5"/>
    </row>
    <row r="9" spans="1:20" ht="30" customHeight="1" x14ac:dyDescent="0.25">
      <c r="A9" s="45" t="s">
        <v>209</v>
      </c>
      <c r="B9" s="131"/>
      <c r="C9" s="132">
        <f>B42</f>
        <v>0</v>
      </c>
      <c r="D9" s="132">
        <f t="shared" ref="D9:N9" si="0">C42</f>
        <v>0</v>
      </c>
      <c r="E9" s="132">
        <f t="shared" si="0"/>
        <v>0</v>
      </c>
      <c r="F9" s="132">
        <f t="shared" si="0"/>
        <v>0</v>
      </c>
      <c r="G9" s="132">
        <f t="shared" si="0"/>
        <v>0</v>
      </c>
      <c r="H9" s="132">
        <f t="shared" si="0"/>
        <v>0</v>
      </c>
      <c r="I9" s="132">
        <f t="shared" si="0"/>
        <v>0</v>
      </c>
      <c r="J9" s="132">
        <f t="shared" si="0"/>
        <v>0</v>
      </c>
      <c r="K9" s="132">
        <f t="shared" si="0"/>
        <v>0</v>
      </c>
      <c r="L9" s="132">
        <f t="shared" si="0"/>
        <v>0</v>
      </c>
      <c r="M9" s="132">
        <f t="shared" si="0"/>
        <v>0</v>
      </c>
      <c r="N9" s="132">
        <f t="shared" si="0"/>
        <v>0</v>
      </c>
      <c r="O9" s="132"/>
      <c r="P9" s="56" t="s">
        <v>258</v>
      </c>
      <c r="Q9" s="4"/>
      <c r="R9" s="5"/>
      <c r="S9" s="5"/>
      <c r="T9" s="5"/>
    </row>
    <row r="10" spans="1:20" ht="30" customHeight="1" x14ac:dyDescent="0.25">
      <c r="A10" s="17" t="s">
        <v>210</v>
      </c>
      <c r="B10" s="26" t="s">
        <v>217</v>
      </c>
      <c r="C10" s="26" t="s">
        <v>218</v>
      </c>
      <c r="D10" s="26" t="s">
        <v>219</v>
      </c>
      <c r="E10" s="26" t="s">
        <v>220</v>
      </c>
      <c r="F10" s="26" t="s">
        <v>221</v>
      </c>
      <c r="G10" s="26" t="s">
        <v>222</v>
      </c>
      <c r="H10" s="26" t="s">
        <v>223</v>
      </c>
      <c r="I10" s="26" t="s">
        <v>224</v>
      </c>
      <c r="J10" s="26" t="s">
        <v>225</v>
      </c>
      <c r="K10" s="26" t="s">
        <v>226</v>
      </c>
      <c r="L10" s="26" t="s">
        <v>227</v>
      </c>
      <c r="M10" s="26" t="s">
        <v>228</v>
      </c>
      <c r="N10" s="26" t="s">
        <v>229</v>
      </c>
      <c r="O10" s="27" t="s">
        <v>214</v>
      </c>
      <c r="P10" s="56" t="s">
        <v>258</v>
      </c>
      <c r="Q10" s="4"/>
      <c r="R10" s="5"/>
      <c r="S10" s="5"/>
      <c r="T10" s="5"/>
    </row>
    <row r="11" spans="1:20" ht="20.100000000000001" customHeight="1" x14ac:dyDescent="0.25">
      <c r="A11" s="46" t="s">
        <v>211</v>
      </c>
      <c r="B11" s="133"/>
      <c r="C11" s="134"/>
      <c r="D11" s="134"/>
      <c r="E11" s="134"/>
      <c r="F11" s="134"/>
      <c r="G11" s="134"/>
      <c r="H11" s="134"/>
      <c r="I11" s="134"/>
      <c r="J11" s="134"/>
      <c r="K11" s="134"/>
      <c r="L11" s="134"/>
      <c r="M11" s="134"/>
      <c r="N11" s="135"/>
      <c r="O11" s="136">
        <f>SUM(Cash_receipts_table_1[[#This Row],[Estimate]:[Period 12]])</f>
        <v>0</v>
      </c>
      <c r="P11" s="56" t="s">
        <v>258</v>
      </c>
      <c r="Q11" s="4"/>
      <c r="R11" s="5"/>
      <c r="S11" s="5"/>
      <c r="T11" s="5"/>
    </row>
    <row r="12" spans="1:20" ht="20.100000000000001" customHeight="1" x14ac:dyDescent="0.25">
      <c r="A12" s="47" t="s">
        <v>212</v>
      </c>
      <c r="B12" s="137"/>
      <c r="C12" s="138"/>
      <c r="D12" s="138"/>
      <c r="E12" s="138"/>
      <c r="F12" s="138"/>
      <c r="G12" s="138"/>
      <c r="H12" s="138"/>
      <c r="I12" s="138"/>
      <c r="J12" s="138"/>
      <c r="K12" s="138"/>
      <c r="L12" s="138"/>
      <c r="M12" s="138"/>
      <c r="N12" s="139"/>
      <c r="O12" s="140">
        <f>SUM(Cash_receipts_table_1[[#This Row],[Estimate]:[Period 12]])</f>
        <v>0</v>
      </c>
      <c r="P12" s="56" t="s">
        <v>258</v>
      </c>
      <c r="Q12" s="4"/>
      <c r="R12" s="5"/>
      <c r="S12" s="5"/>
      <c r="T12" s="5"/>
    </row>
    <row r="13" spans="1:20" ht="20.100000000000001" customHeight="1" thickBot="1" x14ac:dyDescent="0.3">
      <c r="A13" s="48" t="s">
        <v>213</v>
      </c>
      <c r="B13" s="141"/>
      <c r="C13" s="142"/>
      <c r="D13" s="142"/>
      <c r="E13" s="142"/>
      <c r="F13" s="142"/>
      <c r="G13" s="142"/>
      <c r="H13" s="142"/>
      <c r="I13" s="142"/>
      <c r="J13" s="142"/>
      <c r="K13" s="142"/>
      <c r="L13" s="142"/>
      <c r="M13" s="142"/>
      <c r="N13" s="143"/>
      <c r="O13" s="144">
        <f>SUM(Cash_receipts_table_1[[#This Row],[Estimate]:[Period 12]])</f>
        <v>0</v>
      </c>
      <c r="P13" s="56" t="s">
        <v>258</v>
      </c>
      <c r="Q13" s="4"/>
      <c r="R13" s="5"/>
      <c r="S13" s="5"/>
      <c r="T13" s="5"/>
    </row>
    <row r="14" spans="1:20" ht="30" customHeight="1" x14ac:dyDescent="0.25">
      <c r="A14" s="80" t="s">
        <v>214</v>
      </c>
      <c r="B14" s="145">
        <f t="shared" ref="B14" si="1">SUM(B11:B13)</f>
        <v>0</v>
      </c>
      <c r="C14" s="145">
        <f t="shared" ref="C14" si="2">SUM(C11:C13)</f>
        <v>0</v>
      </c>
      <c r="D14" s="145">
        <f t="shared" ref="D14" si="3">SUM(D11:D13)</f>
        <v>0</v>
      </c>
      <c r="E14" s="145">
        <f t="shared" ref="E14" si="4">SUM(E11:E13)</f>
        <v>0</v>
      </c>
      <c r="F14" s="145">
        <f t="shared" ref="F14" si="5">SUM(F11:F13)</f>
        <v>0</v>
      </c>
      <c r="G14" s="145">
        <f t="shared" ref="G14" si="6">SUM(G11:G13)</f>
        <v>0</v>
      </c>
      <c r="H14" s="145">
        <f t="shared" ref="H14" si="7">SUM(H11:H13)</f>
        <v>0</v>
      </c>
      <c r="I14" s="145">
        <f t="shared" ref="I14" si="8">SUM(I11:I13)</f>
        <v>0</v>
      </c>
      <c r="J14" s="145">
        <f t="shared" ref="J14" si="9">SUM(J11:J13)</f>
        <v>0</v>
      </c>
      <c r="K14" s="145">
        <f t="shared" ref="K14" si="10">SUM(K11:K13)</f>
        <v>0</v>
      </c>
      <c r="L14" s="145">
        <f t="shared" ref="L14" si="11">SUM(L11:L13)</f>
        <v>0</v>
      </c>
      <c r="M14" s="145">
        <f t="shared" ref="M14:N14" si="12">SUM(M11:M13)</f>
        <v>0</v>
      </c>
      <c r="N14" s="145">
        <f t="shared" si="12"/>
        <v>0</v>
      </c>
      <c r="O14" s="146">
        <f>SUM(Cash_receipts_table_1[[#This Row],[Estimate]:[Period 12]])</f>
        <v>0</v>
      </c>
      <c r="P14" s="56" t="s">
        <v>258</v>
      </c>
      <c r="Q14" s="4"/>
      <c r="R14" s="5"/>
      <c r="S14" s="5"/>
      <c r="T14" s="5"/>
    </row>
    <row r="15" spans="1:20" ht="30" customHeight="1" x14ac:dyDescent="0.25">
      <c r="A15" s="82" t="s">
        <v>215</v>
      </c>
      <c r="B15" s="147">
        <f>B14*(1+(Value_added_tax_rate/100))</f>
        <v>0</v>
      </c>
      <c r="C15" s="147">
        <f t="shared" ref="C15:N15" si="13">C14*(1+(Value_added_tax_rate/100))</f>
        <v>0</v>
      </c>
      <c r="D15" s="147">
        <f t="shared" si="13"/>
        <v>0</v>
      </c>
      <c r="E15" s="147">
        <f t="shared" si="13"/>
        <v>0</v>
      </c>
      <c r="F15" s="147">
        <f t="shared" si="13"/>
        <v>0</v>
      </c>
      <c r="G15" s="147">
        <f t="shared" si="13"/>
        <v>0</v>
      </c>
      <c r="H15" s="147">
        <f t="shared" si="13"/>
        <v>0</v>
      </c>
      <c r="I15" s="147">
        <f t="shared" si="13"/>
        <v>0</v>
      </c>
      <c r="J15" s="147">
        <f t="shared" si="13"/>
        <v>0</v>
      </c>
      <c r="K15" s="147">
        <f t="shared" si="13"/>
        <v>0</v>
      </c>
      <c r="L15" s="147">
        <f t="shared" si="13"/>
        <v>0</v>
      </c>
      <c r="M15" s="147">
        <f t="shared" si="13"/>
        <v>0</v>
      </c>
      <c r="N15" s="147">
        <f t="shared" si="13"/>
        <v>0</v>
      </c>
      <c r="O15" s="147">
        <f>SUM(Cash_receipts_table_1[[#This Row],[Estimate]:[Period 12]])</f>
        <v>0</v>
      </c>
      <c r="P15" s="56" t="s">
        <v>258</v>
      </c>
      <c r="Q15" s="4"/>
      <c r="R15" s="5"/>
      <c r="S15" s="5"/>
      <c r="T15" s="5"/>
    </row>
    <row r="16" spans="1:20" ht="30" customHeight="1" x14ac:dyDescent="0.25">
      <c r="A16" s="49" t="s">
        <v>231</v>
      </c>
      <c r="B16" s="26" t="s">
        <v>217</v>
      </c>
      <c r="C16" s="26" t="s">
        <v>218</v>
      </c>
      <c r="D16" s="26" t="s">
        <v>219</v>
      </c>
      <c r="E16" s="26" t="s">
        <v>220</v>
      </c>
      <c r="F16" s="26" t="s">
        <v>221</v>
      </c>
      <c r="G16" s="26" t="s">
        <v>222</v>
      </c>
      <c r="H16" s="26" t="s">
        <v>223</v>
      </c>
      <c r="I16" s="26" t="s">
        <v>224</v>
      </c>
      <c r="J16" s="26" t="s">
        <v>225</v>
      </c>
      <c r="K16" s="26" t="s">
        <v>226</v>
      </c>
      <c r="L16" s="26" t="s">
        <v>227</v>
      </c>
      <c r="M16" s="26" t="s">
        <v>228</v>
      </c>
      <c r="N16" s="26" t="s">
        <v>229</v>
      </c>
      <c r="O16" s="27" t="s">
        <v>214</v>
      </c>
      <c r="P16" s="56" t="s">
        <v>258</v>
      </c>
      <c r="Q16" s="4"/>
      <c r="R16" s="5"/>
      <c r="S16" s="5"/>
      <c r="T16" s="5"/>
    </row>
    <row r="17" spans="1:390" ht="30" customHeight="1" x14ac:dyDescent="0.25">
      <c r="A17" s="45" t="s">
        <v>232</v>
      </c>
      <c r="B17" s="132">
        <f>SUM(Opening_balance_table_1[Estimate],B15)</f>
        <v>0</v>
      </c>
      <c r="C17" s="132">
        <f>SUM(Opening_balance_table_1[Period 1],C15)</f>
        <v>0</v>
      </c>
      <c r="D17" s="132">
        <f>SUM(Opening_balance_table_1[Period 2],D15)</f>
        <v>0</v>
      </c>
      <c r="E17" s="132">
        <f>SUM(Opening_balance_table_1[Period 3],E15)</f>
        <v>0</v>
      </c>
      <c r="F17" s="132">
        <f>SUM(Opening_balance_table_1[Period 4],F15)</f>
        <v>0</v>
      </c>
      <c r="G17" s="132">
        <f>SUM(Opening_balance_table_1[Period 5],G15)</f>
        <v>0</v>
      </c>
      <c r="H17" s="132">
        <f>SUM(Opening_balance_table_1[Period 6],H15)</f>
        <v>0</v>
      </c>
      <c r="I17" s="132">
        <f>SUM(Opening_balance_table_1[Period 7],I15)</f>
        <v>0</v>
      </c>
      <c r="J17" s="132">
        <f>SUM(Opening_balance_table_1[Period 8],J15)</f>
        <v>0</v>
      </c>
      <c r="K17" s="132">
        <f>SUM(Opening_balance_table_1[Period 9],K15)</f>
        <v>0</v>
      </c>
      <c r="L17" s="132">
        <f>SUM(Opening_balance_table_1[Period 10],L15)</f>
        <v>0</v>
      </c>
      <c r="M17" s="132">
        <f>SUM(Opening_balance_table_1[Period 11],M15)</f>
        <v>0</v>
      </c>
      <c r="N17" s="132">
        <f>SUM(Opening_balance_table_1[Period 12],N15)</f>
        <v>0</v>
      </c>
      <c r="O17" s="132"/>
      <c r="P17" s="56" t="s">
        <v>258</v>
      </c>
      <c r="Q17" s="4"/>
      <c r="R17" s="5"/>
      <c r="S17" s="5"/>
      <c r="T17" s="5"/>
    </row>
    <row r="18" spans="1:390" ht="30" customHeight="1" x14ac:dyDescent="0.25">
      <c r="A18" s="49" t="s">
        <v>233</v>
      </c>
      <c r="B18" s="26" t="s">
        <v>217</v>
      </c>
      <c r="C18" s="26" t="s">
        <v>218</v>
      </c>
      <c r="D18" s="26" t="s">
        <v>219</v>
      </c>
      <c r="E18" s="26" t="s">
        <v>220</v>
      </c>
      <c r="F18" s="26" t="s">
        <v>221</v>
      </c>
      <c r="G18" s="26" t="s">
        <v>222</v>
      </c>
      <c r="H18" s="26" t="s">
        <v>223</v>
      </c>
      <c r="I18" s="26" t="s">
        <v>224</v>
      </c>
      <c r="J18" s="26" t="s">
        <v>225</v>
      </c>
      <c r="K18" s="26" t="s">
        <v>226</v>
      </c>
      <c r="L18" s="26" t="s">
        <v>227</v>
      </c>
      <c r="M18" s="26" t="s">
        <v>228</v>
      </c>
      <c r="N18" s="26" t="s">
        <v>229</v>
      </c>
      <c r="O18" s="27" t="s">
        <v>214</v>
      </c>
      <c r="P18" s="56" t="s">
        <v>258</v>
      </c>
      <c r="Q18" s="4"/>
      <c r="R18" s="5"/>
      <c r="S18" s="5"/>
      <c r="T18" s="5"/>
    </row>
    <row r="19" spans="1:390" ht="20.100000000000001" customHeight="1" thickBot="1" x14ac:dyDescent="0.3">
      <c r="A19" s="84" t="s">
        <v>234</v>
      </c>
      <c r="B19" s="162"/>
      <c r="C19" s="162"/>
      <c r="D19" s="162"/>
      <c r="E19" s="162"/>
      <c r="F19" s="162"/>
      <c r="G19" s="162"/>
      <c r="H19" s="162"/>
      <c r="I19" s="162"/>
      <c r="J19" s="162"/>
      <c r="K19" s="162"/>
      <c r="L19" s="162"/>
      <c r="M19" s="162"/>
      <c r="N19" s="162"/>
      <c r="O19" s="104">
        <f>SUM(Cash_payments_VAT_table_1[[#This Row],[Estimate]:[Period 12]])</f>
        <v>0</v>
      </c>
      <c r="P19" s="56" t="s">
        <v>258</v>
      </c>
      <c r="Q19" s="4"/>
      <c r="R19" s="5"/>
      <c r="S19" s="5"/>
      <c r="T19" s="5"/>
    </row>
    <row r="20" spans="1:390" ht="30" customHeight="1" x14ac:dyDescent="0.25">
      <c r="A20" s="81" t="s">
        <v>235</v>
      </c>
      <c r="B20" s="148">
        <f>B19*(1+(Value_added_tax_rate/100))</f>
        <v>0</v>
      </c>
      <c r="C20" s="148">
        <f t="shared" ref="C20:N20" si="14">C19*(1+(Value_added_tax_rate/100))</f>
        <v>0</v>
      </c>
      <c r="D20" s="148">
        <f t="shared" si="14"/>
        <v>0</v>
      </c>
      <c r="E20" s="148">
        <f>E19*(1+(Value_added_tax_rate/100))</f>
        <v>0</v>
      </c>
      <c r="F20" s="148">
        <f t="shared" si="14"/>
        <v>0</v>
      </c>
      <c r="G20" s="148">
        <f t="shared" si="14"/>
        <v>0</v>
      </c>
      <c r="H20" s="148">
        <f t="shared" si="14"/>
        <v>0</v>
      </c>
      <c r="I20" s="148">
        <f t="shared" si="14"/>
        <v>0</v>
      </c>
      <c r="J20" s="148">
        <f t="shared" si="14"/>
        <v>0</v>
      </c>
      <c r="K20" s="148">
        <f t="shared" si="14"/>
        <v>0</v>
      </c>
      <c r="L20" s="148">
        <f t="shared" si="14"/>
        <v>0</v>
      </c>
      <c r="M20" s="148">
        <f>M19*(1+(Value_added_tax_rate/100))</f>
        <v>0</v>
      </c>
      <c r="N20" s="148">
        <f t="shared" si="14"/>
        <v>0</v>
      </c>
      <c r="O20" s="148">
        <f>SUM(Cash_payments_VAT_table_1[[#This Row],[Estimate]:[Period 12]])</f>
        <v>0</v>
      </c>
      <c r="P20" s="56" t="s">
        <v>258</v>
      </c>
      <c r="Q20" s="4"/>
      <c r="R20" s="5"/>
      <c r="S20" s="5"/>
      <c r="T20" s="5"/>
    </row>
    <row r="21" spans="1:390" ht="30" customHeight="1" x14ac:dyDescent="0.25">
      <c r="A21" s="82" t="s">
        <v>236</v>
      </c>
      <c r="B21" s="85" t="s">
        <v>269</v>
      </c>
      <c r="C21" s="85" t="s">
        <v>269</v>
      </c>
      <c r="D21" s="149">
        <f>(B15-B14)-(B20-B19)</f>
        <v>0</v>
      </c>
      <c r="E21" s="149">
        <f t="shared" ref="E21:L21" si="15">(C15-C14)-(C20-C19)</f>
        <v>0</v>
      </c>
      <c r="F21" s="149">
        <f t="shared" si="15"/>
        <v>0</v>
      </c>
      <c r="G21" s="149">
        <f t="shared" si="15"/>
        <v>0</v>
      </c>
      <c r="H21" s="149">
        <f t="shared" si="15"/>
        <v>0</v>
      </c>
      <c r="I21" s="149">
        <f t="shared" si="15"/>
        <v>0</v>
      </c>
      <c r="J21" s="149">
        <f t="shared" si="15"/>
        <v>0</v>
      </c>
      <c r="K21" s="149">
        <f t="shared" si="15"/>
        <v>0</v>
      </c>
      <c r="L21" s="149">
        <f t="shared" si="15"/>
        <v>0</v>
      </c>
      <c r="M21" s="149">
        <f>(K15-K14)-(K20-K19)</f>
        <v>0</v>
      </c>
      <c r="N21" s="149">
        <f>(L15-L14)-(L20-L19)</f>
        <v>0</v>
      </c>
      <c r="O21" s="149">
        <f>SUM(Cash_payments_VAT_table_1[[#This Row],[Estimate]:[Period 12]])</f>
        <v>0</v>
      </c>
      <c r="P21" s="175" t="s">
        <v>258</v>
      </c>
      <c r="Q21" s="77"/>
      <c r="R21" s="5"/>
      <c r="S21" s="5"/>
      <c r="T21" s="5"/>
    </row>
    <row r="22" spans="1:390" ht="30" customHeight="1" x14ac:dyDescent="0.25">
      <c r="A22" s="17" t="s">
        <v>240</v>
      </c>
      <c r="B22" s="26" t="s">
        <v>217</v>
      </c>
      <c r="C22" s="26" t="s">
        <v>218</v>
      </c>
      <c r="D22" s="26" t="s">
        <v>219</v>
      </c>
      <c r="E22" s="26" t="s">
        <v>220</v>
      </c>
      <c r="F22" s="26" t="s">
        <v>221</v>
      </c>
      <c r="G22" s="26" t="s">
        <v>222</v>
      </c>
      <c r="H22" s="26" t="s">
        <v>223</v>
      </c>
      <c r="I22" s="26" t="s">
        <v>224</v>
      </c>
      <c r="J22" s="26" t="s">
        <v>225</v>
      </c>
      <c r="K22" s="26" t="s">
        <v>226</v>
      </c>
      <c r="L22" s="26" t="s">
        <v>227</v>
      </c>
      <c r="M22" s="26" t="s">
        <v>228</v>
      </c>
      <c r="N22" s="26" t="s">
        <v>229</v>
      </c>
      <c r="O22" s="27" t="s">
        <v>214</v>
      </c>
      <c r="P22" s="56" t="s">
        <v>258</v>
      </c>
      <c r="Q22" s="4"/>
      <c r="R22" s="5"/>
      <c r="S22" s="5"/>
      <c r="T22" s="5"/>
    </row>
    <row r="23" spans="1:390" ht="20.100000000000001" customHeight="1" x14ac:dyDescent="0.25">
      <c r="A23" s="18" t="s">
        <v>241</v>
      </c>
      <c r="B23" s="95"/>
      <c r="C23" s="95"/>
      <c r="D23" s="95"/>
      <c r="E23" s="95"/>
      <c r="F23" s="95"/>
      <c r="G23" s="95"/>
      <c r="H23" s="95"/>
      <c r="I23" s="95"/>
      <c r="J23" s="95"/>
      <c r="K23" s="95"/>
      <c r="L23" s="95"/>
      <c r="M23" s="95"/>
      <c r="N23" s="95"/>
      <c r="O23" s="150">
        <f>SUM(Cash_payments_table_1[[#This Row],[Estimate]:[Period 12]])</f>
        <v>0</v>
      </c>
      <c r="P23" s="56" t="s">
        <v>258</v>
      </c>
      <c r="Q23" s="4"/>
      <c r="R23" s="5"/>
      <c r="S23" s="5"/>
      <c r="T23" s="5"/>
    </row>
    <row r="24" spans="1:390" ht="20.100000000000001" customHeight="1" x14ac:dyDescent="0.25">
      <c r="A24" s="18" t="s">
        <v>242</v>
      </c>
      <c r="B24" s="95"/>
      <c r="C24" s="95"/>
      <c r="D24" s="95"/>
      <c r="E24" s="95"/>
      <c r="F24" s="95"/>
      <c r="G24" s="95"/>
      <c r="H24" s="95"/>
      <c r="I24" s="95"/>
      <c r="J24" s="95"/>
      <c r="K24" s="95"/>
      <c r="L24" s="95"/>
      <c r="M24" s="95"/>
      <c r="N24" s="95"/>
      <c r="O24" s="150">
        <f>SUM(Cash_payments_table_1[[#This Row],[Estimate]:[Period 12]])</f>
        <v>0</v>
      </c>
      <c r="P24" s="175" t="s">
        <v>258</v>
      </c>
      <c r="Q24" s="77"/>
      <c r="R24" s="78"/>
      <c r="S24" s="78"/>
      <c r="T24" s="78"/>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c r="BZ24" s="79"/>
      <c r="CA24" s="79"/>
      <c r="CB24" s="79"/>
      <c r="CC24" s="79"/>
      <c r="CD24" s="79"/>
      <c r="CE24" s="79"/>
      <c r="CF24" s="79"/>
      <c r="CG24" s="79"/>
      <c r="CH24" s="79"/>
      <c r="CI24" s="79"/>
      <c r="CJ24" s="79"/>
      <c r="CK24" s="79"/>
      <c r="CL24" s="79"/>
      <c r="CM24" s="79"/>
      <c r="CN24" s="79"/>
      <c r="CO24" s="79"/>
      <c r="CP24" s="79"/>
      <c r="CQ24" s="79"/>
      <c r="CR24" s="79"/>
      <c r="CS24" s="79"/>
      <c r="CT24" s="79"/>
      <c r="CU24" s="79"/>
      <c r="CV24" s="79"/>
      <c r="CW24" s="79"/>
      <c r="CX24" s="79"/>
      <c r="CY24" s="79"/>
      <c r="CZ24" s="79"/>
      <c r="DA24" s="79"/>
      <c r="DB24" s="79"/>
      <c r="DC24" s="79"/>
      <c r="DD24" s="79"/>
      <c r="DE24" s="79"/>
      <c r="DF24" s="79"/>
      <c r="DG24" s="79"/>
      <c r="DH24" s="79"/>
      <c r="DI24" s="79"/>
      <c r="DJ24" s="79"/>
      <c r="DK24" s="79"/>
      <c r="DL24" s="79"/>
      <c r="DM24" s="79"/>
      <c r="DN24" s="79"/>
      <c r="DO24" s="79"/>
      <c r="DP24" s="79"/>
      <c r="DQ24" s="79"/>
      <c r="DR24" s="79"/>
      <c r="DS24" s="79"/>
      <c r="DT24" s="79"/>
      <c r="DU24" s="79"/>
      <c r="DV24" s="79"/>
      <c r="DW24" s="79"/>
      <c r="DX24" s="79"/>
      <c r="DY24" s="79"/>
      <c r="DZ24" s="79"/>
      <c r="EA24" s="79"/>
      <c r="EB24" s="79"/>
      <c r="EC24" s="79"/>
      <c r="ED24" s="79"/>
      <c r="EE24" s="79"/>
      <c r="EF24" s="79"/>
      <c r="EG24" s="79"/>
      <c r="EH24" s="79"/>
      <c r="EI24" s="79"/>
      <c r="EJ24" s="79"/>
      <c r="EK24" s="79"/>
      <c r="EL24" s="79"/>
      <c r="EM24" s="79"/>
      <c r="EN24" s="79"/>
      <c r="EO24" s="79"/>
      <c r="EP24" s="79"/>
      <c r="EQ24" s="79"/>
      <c r="ER24" s="79"/>
      <c r="ES24" s="79"/>
      <c r="ET24" s="79"/>
      <c r="EU24" s="79"/>
      <c r="EV24" s="79"/>
      <c r="EW24" s="79"/>
      <c r="EX24" s="79"/>
      <c r="EY24" s="79"/>
      <c r="EZ24" s="79"/>
      <c r="FA24" s="79"/>
      <c r="FB24" s="79"/>
      <c r="FC24" s="79"/>
      <c r="FD24" s="79"/>
      <c r="FE24" s="79"/>
      <c r="FF24" s="79"/>
      <c r="FG24" s="79"/>
      <c r="FH24" s="79"/>
      <c r="FI24" s="79"/>
      <c r="FJ24" s="79"/>
      <c r="FK24" s="79"/>
      <c r="FL24" s="79"/>
      <c r="FM24" s="79"/>
      <c r="FN24" s="79"/>
      <c r="FO24" s="79"/>
      <c r="FP24" s="79"/>
      <c r="FQ24" s="79"/>
      <c r="FR24" s="79"/>
      <c r="FS24" s="79"/>
      <c r="FT24" s="79"/>
      <c r="FU24" s="79"/>
      <c r="FV24" s="79"/>
      <c r="FW24" s="79"/>
      <c r="FX24" s="79"/>
      <c r="FY24" s="79"/>
      <c r="FZ24" s="79"/>
      <c r="GA24" s="79"/>
      <c r="GB24" s="79"/>
      <c r="GC24" s="79"/>
      <c r="GD24" s="79"/>
      <c r="GE24" s="79"/>
      <c r="GF24" s="79"/>
      <c r="GG24" s="79"/>
      <c r="GH24" s="79"/>
      <c r="GI24" s="79"/>
      <c r="GJ24" s="79"/>
      <c r="GK24" s="79"/>
      <c r="GL24" s="79"/>
      <c r="GM24" s="79"/>
      <c r="GN24" s="79"/>
      <c r="GO24" s="79"/>
      <c r="GP24" s="79"/>
      <c r="GQ24" s="79"/>
      <c r="GR24" s="79"/>
      <c r="GS24" s="79"/>
      <c r="GT24" s="79"/>
      <c r="GU24" s="79"/>
      <c r="GV24" s="79"/>
      <c r="GW24" s="79"/>
      <c r="GX24" s="79"/>
      <c r="GY24" s="79"/>
      <c r="GZ24" s="79"/>
      <c r="HA24" s="79"/>
      <c r="HB24" s="79"/>
      <c r="HC24" s="79"/>
      <c r="HD24" s="79"/>
      <c r="HE24" s="79"/>
      <c r="HF24" s="79"/>
      <c r="HG24" s="79"/>
      <c r="HH24" s="79"/>
      <c r="HI24" s="79"/>
      <c r="HJ24" s="79"/>
      <c r="HK24" s="79"/>
      <c r="HL24" s="79"/>
      <c r="HM24" s="79"/>
      <c r="HN24" s="79"/>
      <c r="HO24" s="79"/>
      <c r="HP24" s="79"/>
      <c r="HQ24" s="79"/>
      <c r="HR24" s="79"/>
      <c r="HS24" s="79"/>
      <c r="HT24" s="79"/>
      <c r="HU24" s="79"/>
      <c r="HV24" s="79"/>
      <c r="HW24" s="79"/>
      <c r="HX24" s="79"/>
      <c r="HY24" s="79"/>
      <c r="HZ24" s="79"/>
      <c r="IA24" s="79"/>
      <c r="IB24" s="79"/>
      <c r="IC24" s="79"/>
      <c r="ID24" s="79"/>
      <c r="IE24" s="79"/>
      <c r="IF24" s="79"/>
      <c r="IG24" s="79"/>
      <c r="IH24" s="79"/>
      <c r="II24" s="79"/>
      <c r="IJ24" s="79"/>
      <c r="IK24" s="79"/>
      <c r="IL24" s="79"/>
      <c r="IM24" s="79"/>
      <c r="IN24" s="79"/>
      <c r="IO24" s="79"/>
      <c r="IP24" s="79"/>
      <c r="IQ24" s="79"/>
      <c r="IR24" s="79"/>
      <c r="IS24" s="79"/>
      <c r="IT24" s="79"/>
      <c r="IU24" s="79"/>
      <c r="IV24" s="79"/>
      <c r="IW24" s="79"/>
      <c r="IX24" s="79"/>
      <c r="IY24" s="79"/>
      <c r="IZ24" s="79"/>
      <c r="JA24" s="79"/>
      <c r="JB24" s="79"/>
      <c r="JC24" s="79"/>
      <c r="JD24" s="79"/>
      <c r="JE24" s="79"/>
      <c r="JF24" s="79"/>
      <c r="JG24" s="79"/>
      <c r="JH24" s="79"/>
      <c r="JI24" s="79"/>
      <c r="JJ24" s="79"/>
      <c r="JK24" s="79"/>
      <c r="JL24" s="79"/>
      <c r="JM24" s="79"/>
      <c r="JN24" s="79"/>
      <c r="JO24" s="79"/>
      <c r="JP24" s="79"/>
      <c r="JQ24" s="79"/>
      <c r="JR24" s="79"/>
      <c r="JS24" s="79"/>
      <c r="JT24" s="79"/>
      <c r="JU24" s="79"/>
      <c r="JV24" s="79"/>
      <c r="JW24" s="79"/>
      <c r="JX24" s="79"/>
      <c r="JY24" s="79"/>
      <c r="JZ24" s="79"/>
      <c r="KA24" s="79"/>
      <c r="KB24" s="79"/>
      <c r="KC24" s="79"/>
      <c r="KD24" s="79"/>
      <c r="KE24" s="79"/>
      <c r="KF24" s="79"/>
      <c r="KG24" s="79"/>
      <c r="KH24" s="79"/>
      <c r="KI24" s="79"/>
      <c r="KJ24" s="79"/>
      <c r="KK24" s="79"/>
      <c r="KL24" s="79"/>
      <c r="KM24" s="79"/>
      <c r="KN24" s="79"/>
      <c r="KO24" s="79"/>
      <c r="KP24" s="79"/>
      <c r="KQ24" s="79"/>
      <c r="KR24" s="79"/>
      <c r="KS24" s="79"/>
      <c r="KT24" s="79"/>
      <c r="KU24" s="79"/>
      <c r="KV24" s="79"/>
      <c r="KW24" s="79"/>
      <c r="KX24" s="79"/>
      <c r="KY24" s="79"/>
      <c r="KZ24" s="79"/>
      <c r="LA24" s="79"/>
      <c r="LB24" s="79"/>
      <c r="LC24" s="79"/>
      <c r="LD24" s="79"/>
      <c r="LE24" s="79"/>
      <c r="LF24" s="79"/>
      <c r="LG24" s="79"/>
      <c r="LH24" s="79"/>
      <c r="LI24" s="79"/>
      <c r="LJ24" s="79"/>
      <c r="LK24" s="79"/>
      <c r="LL24" s="79"/>
      <c r="LM24" s="79"/>
      <c r="LN24" s="79"/>
      <c r="LO24" s="79"/>
      <c r="LP24" s="79"/>
      <c r="LQ24" s="79"/>
      <c r="LR24" s="79"/>
      <c r="LS24" s="79"/>
      <c r="LT24" s="79"/>
      <c r="LU24" s="79"/>
      <c r="LV24" s="79"/>
      <c r="LW24" s="79"/>
      <c r="LX24" s="79"/>
      <c r="LY24" s="79"/>
      <c r="LZ24" s="79"/>
      <c r="MA24" s="79"/>
      <c r="MB24" s="79"/>
      <c r="MC24" s="79"/>
      <c r="MD24" s="79"/>
      <c r="ME24" s="79"/>
      <c r="MF24" s="79"/>
      <c r="MG24" s="79"/>
      <c r="MH24" s="79"/>
      <c r="MI24" s="79"/>
      <c r="MJ24" s="79"/>
      <c r="MK24" s="79"/>
      <c r="ML24" s="79"/>
      <c r="MM24" s="79"/>
      <c r="MN24" s="79"/>
      <c r="MO24" s="79"/>
      <c r="MP24" s="79"/>
      <c r="MQ24" s="79"/>
      <c r="MR24" s="79"/>
      <c r="MS24" s="79"/>
      <c r="MT24" s="79"/>
      <c r="MU24" s="79"/>
      <c r="MV24" s="79"/>
      <c r="MW24" s="79"/>
      <c r="MX24" s="79"/>
      <c r="MY24" s="79"/>
      <c r="MZ24" s="79"/>
      <c r="NA24" s="79"/>
      <c r="NB24" s="79"/>
      <c r="NC24" s="79"/>
      <c r="ND24" s="79"/>
      <c r="NE24" s="79"/>
      <c r="NF24" s="79"/>
      <c r="NG24" s="79"/>
      <c r="NH24" s="79"/>
      <c r="NI24" s="79"/>
      <c r="NJ24" s="79"/>
      <c r="NK24" s="79"/>
      <c r="NL24" s="79"/>
      <c r="NM24" s="79"/>
      <c r="NN24" s="79"/>
      <c r="NO24" s="79"/>
      <c r="NP24" s="79"/>
      <c r="NQ24" s="79"/>
      <c r="NR24" s="79"/>
      <c r="NS24" s="79"/>
      <c r="NT24" s="79"/>
      <c r="NU24" s="79"/>
      <c r="NV24" s="79"/>
      <c r="NW24" s="79"/>
      <c r="NX24" s="79"/>
      <c r="NY24" s="79"/>
      <c r="NZ24" s="79"/>
    </row>
    <row r="25" spans="1:390" ht="20.100000000000001" customHeight="1" x14ac:dyDescent="0.25">
      <c r="A25" s="40" t="s">
        <v>5</v>
      </c>
      <c r="B25" s="151"/>
      <c r="C25" s="151"/>
      <c r="D25" s="151"/>
      <c r="E25" s="151"/>
      <c r="F25" s="151"/>
      <c r="G25" s="151"/>
      <c r="H25" s="151"/>
      <c r="I25" s="151"/>
      <c r="J25" s="151"/>
      <c r="K25" s="151"/>
      <c r="L25" s="151"/>
      <c r="M25" s="151"/>
      <c r="N25" s="151"/>
      <c r="O25" s="152">
        <f>SUM(Cash_payments_table_1[[#This Row],[Estimate]:[Period 12]])</f>
        <v>0</v>
      </c>
      <c r="P25" s="175" t="s">
        <v>258</v>
      </c>
      <c r="Q25" s="77"/>
      <c r="R25" s="78"/>
      <c r="S25" s="78"/>
      <c r="T25" s="78"/>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c r="BA25" s="79"/>
      <c r="BB25" s="79"/>
      <c r="BC25" s="79"/>
      <c r="BD25" s="79"/>
      <c r="BE25" s="79"/>
      <c r="BF25" s="79"/>
      <c r="BG25" s="79"/>
      <c r="BH25" s="79"/>
      <c r="BI25" s="79"/>
      <c r="BJ25" s="79"/>
      <c r="BK25" s="79"/>
      <c r="BL25" s="79"/>
      <c r="BM25" s="79"/>
      <c r="BN25" s="79"/>
      <c r="BO25" s="79"/>
      <c r="BP25" s="79"/>
      <c r="BQ25" s="79"/>
      <c r="BR25" s="79"/>
      <c r="BS25" s="79"/>
      <c r="BT25" s="79"/>
      <c r="BU25" s="79"/>
      <c r="BV25" s="79"/>
      <c r="BW25" s="79"/>
      <c r="BX25" s="79"/>
      <c r="BY25" s="79"/>
      <c r="BZ25" s="79"/>
      <c r="CA25" s="79"/>
      <c r="CB25" s="79"/>
      <c r="CC25" s="79"/>
      <c r="CD25" s="79"/>
      <c r="CE25" s="79"/>
      <c r="CF25" s="79"/>
      <c r="CG25" s="79"/>
      <c r="CH25" s="79"/>
      <c r="CI25" s="79"/>
      <c r="CJ25" s="79"/>
      <c r="CK25" s="79"/>
      <c r="CL25" s="79"/>
      <c r="CM25" s="79"/>
      <c r="CN25" s="79"/>
      <c r="CO25" s="79"/>
      <c r="CP25" s="79"/>
      <c r="CQ25" s="79"/>
      <c r="CR25" s="79"/>
      <c r="CS25" s="79"/>
      <c r="CT25" s="79"/>
      <c r="CU25" s="79"/>
      <c r="CV25" s="79"/>
      <c r="CW25" s="79"/>
      <c r="CX25" s="79"/>
      <c r="CY25" s="79"/>
      <c r="CZ25" s="79"/>
      <c r="DA25" s="79"/>
      <c r="DB25" s="79"/>
      <c r="DC25" s="79"/>
      <c r="DD25" s="79"/>
      <c r="DE25" s="79"/>
      <c r="DF25" s="79"/>
      <c r="DG25" s="79"/>
      <c r="DH25" s="79"/>
      <c r="DI25" s="79"/>
      <c r="DJ25" s="79"/>
      <c r="DK25" s="79"/>
      <c r="DL25" s="79"/>
      <c r="DM25" s="79"/>
      <c r="DN25" s="79"/>
      <c r="DO25" s="79"/>
      <c r="DP25" s="79"/>
      <c r="DQ25" s="79"/>
      <c r="DR25" s="79"/>
      <c r="DS25" s="79"/>
      <c r="DT25" s="79"/>
      <c r="DU25" s="79"/>
      <c r="DV25" s="79"/>
      <c r="DW25" s="79"/>
      <c r="DX25" s="79"/>
      <c r="DY25" s="79"/>
      <c r="DZ25" s="79"/>
      <c r="EA25" s="79"/>
      <c r="EB25" s="79"/>
      <c r="EC25" s="79"/>
      <c r="ED25" s="79"/>
      <c r="EE25" s="79"/>
      <c r="EF25" s="79"/>
      <c r="EG25" s="79"/>
      <c r="EH25" s="79"/>
      <c r="EI25" s="79"/>
      <c r="EJ25" s="79"/>
      <c r="EK25" s="79"/>
      <c r="EL25" s="79"/>
      <c r="EM25" s="79"/>
      <c r="EN25" s="79"/>
      <c r="EO25" s="79"/>
      <c r="EP25" s="79"/>
      <c r="EQ25" s="79"/>
      <c r="ER25" s="79"/>
      <c r="ES25" s="79"/>
      <c r="ET25" s="79"/>
      <c r="EU25" s="79"/>
      <c r="EV25" s="79"/>
      <c r="EW25" s="79"/>
      <c r="EX25" s="79"/>
      <c r="EY25" s="79"/>
      <c r="EZ25" s="79"/>
      <c r="FA25" s="79"/>
      <c r="FB25" s="79"/>
      <c r="FC25" s="79"/>
      <c r="FD25" s="79"/>
      <c r="FE25" s="79"/>
      <c r="FF25" s="79"/>
      <c r="FG25" s="79"/>
      <c r="FH25" s="79"/>
      <c r="FI25" s="79"/>
      <c r="FJ25" s="79"/>
      <c r="FK25" s="79"/>
      <c r="FL25" s="79"/>
      <c r="FM25" s="79"/>
      <c r="FN25" s="79"/>
      <c r="FO25" s="79"/>
      <c r="FP25" s="79"/>
      <c r="FQ25" s="79"/>
      <c r="FR25" s="79"/>
      <c r="FS25" s="79"/>
      <c r="FT25" s="79"/>
      <c r="FU25" s="79"/>
      <c r="FV25" s="79"/>
      <c r="FW25" s="79"/>
      <c r="FX25" s="79"/>
      <c r="FY25" s="79"/>
      <c r="FZ25" s="79"/>
      <c r="GA25" s="79"/>
      <c r="GB25" s="79"/>
      <c r="GC25" s="79"/>
      <c r="GD25" s="79"/>
      <c r="GE25" s="79"/>
      <c r="GF25" s="79"/>
      <c r="GG25" s="79"/>
      <c r="GH25" s="79"/>
      <c r="GI25" s="79"/>
      <c r="GJ25" s="79"/>
      <c r="GK25" s="79"/>
      <c r="GL25" s="79"/>
      <c r="GM25" s="79"/>
      <c r="GN25" s="79"/>
      <c r="GO25" s="79"/>
      <c r="GP25" s="79"/>
      <c r="GQ25" s="79"/>
      <c r="GR25" s="79"/>
      <c r="GS25" s="79"/>
      <c r="GT25" s="79"/>
      <c r="GU25" s="79"/>
      <c r="GV25" s="79"/>
      <c r="GW25" s="79"/>
      <c r="GX25" s="79"/>
      <c r="GY25" s="79"/>
      <c r="GZ25" s="79"/>
      <c r="HA25" s="79"/>
      <c r="HB25" s="79"/>
      <c r="HC25" s="79"/>
      <c r="HD25" s="79"/>
      <c r="HE25" s="79"/>
      <c r="HF25" s="79"/>
      <c r="HG25" s="79"/>
      <c r="HH25" s="79"/>
      <c r="HI25" s="79"/>
      <c r="HJ25" s="79"/>
      <c r="HK25" s="79"/>
      <c r="HL25" s="79"/>
      <c r="HM25" s="79"/>
      <c r="HN25" s="79"/>
      <c r="HO25" s="79"/>
      <c r="HP25" s="79"/>
      <c r="HQ25" s="79"/>
      <c r="HR25" s="79"/>
      <c r="HS25" s="79"/>
      <c r="HT25" s="79"/>
      <c r="HU25" s="79"/>
      <c r="HV25" s="79"/>
      <c r="HW25" s="79"/>
      <c r="HX25" s="79"/>
      <c r="HY25" s="79"/>
      <c r="HZ25" s="79"/>
      <c r="IA25" s="79"/>
      <c r="IB25" s="79"/>
      <c r="IC25" s="79"/>
      <c r="ID25" s="79"/>
      <c r="IE25" s="79"/>
      <c r="IF25" s="79"/>
      <c r="IG25" s="79"/>
      <c r="IH25" s="79"/>
      <c r="II25" s="79"/>
      <c r="IJ25" s="79"/>
      <c r="IK25" s="79"/>
      <c r="IL25" s="79"/>
      <c r="IM25" s="79"/>
      <c r="IN25" s="79"/>
      <c r="IO25" s="79"/>
      <c r="IP25" s="79"/>
      <c r="IQ25" s="79"/>
      <c r="IR25" s="79"/>
      <c r="IS25" s="79"/>
      <c r="IT25" s="79"/>
      <c r="IU25" s="79"/>
      <c r="IV25" s="79"/>
      <c r="IW25" s="79"/>
      <c r="IX25" s="79"/>
      <c r="IY25" s="79"/>
      <c r="IZ25" s="79"/>
      <c r="JA25" s="79"/>
      <c r="JB25" s="79"/>
      <c r="JC25" s="79"/>
      <c r="JD25" s="79"/>
      <c r="JE25" s="79"/>
      <c r="JF25" s="79"/>
      <c r="JG25" s="79"/>
      <c r="JH25" s="79"/>
      <c r="JI25" s="79"/>
      <c r="JJ25" s="79"/>
      <c r="JK25" s="79"/>
      <c r="JL25" s="79"/>
      <c r="JM25" s="79"/>
      <c r="JN25" s="79"/>
      <c r="JO25" s="79"/>
      <c r="JP25" s="79"/>
      <c r="JQ25" s="79"/>
      <c r="JR25" s="79"/>
      <c r="JS25" s="79"/>
      <c r="JT25" s="79"/>
      <c r="JU25" s="79"/>
      <c r="JV25" s="79"/>
      <c r="JW25" s="79"/>
      <c r="JX25" s="79"/>
      <c r="JY25" s="79"/>
      <c r="JZ25" s="79"/>
      <c r="KA25" s="79"/>
      <c r="KB25" s="79"/>
      <c r="KC25" s="79"/>
      <c r="KD25" s="79"/>
      <c r="KE25" s="79"/>
      <c r="KF25" s="79"/>
      <c r="KG25" s="79"/>
      <c r="KH25" s="79"/>
      <c r="KI25" s="79"/>
      <c r="KJ25" s="79"/>
      <c r="KK25" s="79"/>
      <c r="KL25" s="79"/>
      <c r="KM25" s="79"/>
      <c r="KN25" s="79"/>
      <c r="KO25" s="79"/>
      <c r="KP25" s="79"/>
      <c r="KQ25" s="79"/>
      <c r="KR25" s="79"/>
      <c r="KS25" s="79"/>
      <c r="KT25" s="79"/>
      <c r="KU25" s="79"/>
      <c r="KV25" s="79"/>
      <c r="KW25" s="79"/>
      <c r="KX25" s="79"/>
      <c r="KY25" s="79"/>
      <c r="KZ25" s="79"/>
      <c r="LA25" s="79"/>
      <c r="LB25" s="79"/>
      <c r="LC25" s="79"/>
      <c r="LD25" s="79"/>
      <c r="LE25" s="79"/>
      <c r="LF25" s="79"/>
      <c r="LG25" s="79"/>
      <c r="LH25" s="79"/>
      <c r="LI25" s="79"/>
      <c r="LJ25" s="79"/>
      <c r="LK25" s="79"/>
      <c r="LL25" s="79"/>
      <c r="LM25" s="79"/>
      <c r="LN25" s="79"/>
      <c r="LO25" s="79"/>
      <c r="LP25" s="79"/>
      <c r="LQ25" s="79"/>
      <c r="LR25" s="79"/>
      <c r="LS25" s="79"/>
      <c r="LT25" s="79"/>
      <c r="LU25" s="79"/>
      <c r="LV25" s="79"/>
      <c r="LW25" s="79"/>
      <c r="LX25" s="79"/>
      <c r="LY25" s="79"/>
      <c r="LZ25" s="79"/>
      <c r="MA25" s="79"/>
      <c r="MB25" s="79"/>
      <c r="MC25" s="79"/>
      <c r="MD25" s="79"/>
      <c r="ME25" s="79"/>
      <c r="MF25" s="79"/>
      <c r="MG25" s="79"/>
      <c r="MH25" s="79"/>
      <c r="MI25" s="79"/>
      <c r="MJ25" s="79"/>
      <c r="MK25" s="79"/>
      <c r="ML25" s="79"/>
      <c r="MM25" s="79"/>
      <c r="MN25" s="79"/>
      <c r="MO25" s="79"/>
      <c r="MP25" s="79"/>
      <c r="MQ25" s="79"/>
      <c r="MR25" s="79"/>
      <c r="MS25" s="79"/>
      <c r="MT25" s="79"/>
      <c r="MU25" s="79"/>
      <c r="MV25" s="79"/>
      <c r="MW25" s="79"/>
      <c r="MX25" s="79"/>
      <c r="MY25" s="79"/>
      <c r="MZ25" s="79"/>
      <c r="NA25" s="79"/>
      <c r="NB25" s="79"/>
      <c r="NC25" s="79"/>
      <c r="ND25" s="79"/>
      <c r="NE25" s="79"/>
      <c r="NF25" s="79"/>
      <c r="NG25" s="79"/>
      <c r="NH25" s="79"/>
      <c r="NI25" s="79"/>
      <c r="NJ25" s="79"/>
      <c r="NK25" s="79"/>
      <c r="NL25" s="79"/>
      <c r="NM25" s="79"/>
      <c r="NN25" s="79"/>
      <c r="NO25" s="79"/>
      <c r="NP25" s="79"/>
      <c r="NQ25" s="79"/>
      <c r="NR25" s="79"/>
      <c r="NS25" s="79"/>
      <c r="NT25" s="79"/>
      <c r="NU25" s="79"/>
      <c r="NV25" s="79"/>
      <c r="NW25" s="79"/>
      <c r="NX25" s="79"/>
      <c r="NY25" s="79"/>
      <c r="NZ25" s="79"/>
    </row>
    <row r="26" spans="1:390" ht="20.100000000000001" customHeight="1" x14ac:dyDescent="0.25">
      <c r="A26" s="41" t="s">
        <v>243</v>
      </c>
      <c r="B26" s="153"/>
      <c r="C26" s="153"/>
      <c r="D26" s="153"/>
      <c r="E26" s="153"/>
      <c r="F26" s="153"/>
      <c r="G26" s="153"/>
      <c r="H26" s="153"/>
      <c r="I26" s="153"/>
      <c r="J26" s="153"/>
      <c r="K26" s="153"/>
      <c r="L26" s="153"/>
      <c r="M26" s="153"/>
      <c r="N26" s="153"/>
      <c r="O26" s="154">
        <f>SUM(Cash_payments_table_1[[#This Row],[Estimate]:[Period 12]])</f>
        <v>0</v>
      </c>
      <c r="P26" s="56" t="s">
        <v>258</v>
      </c>
      <c r="Q26" s="4"/>
      <c r="R26" s="5"/>
      <c r="S26" s="5"/>
      <c r="T26" s="5"/>
    </row>
    <row r="27" spans="1:390" ht="20.100000000000001" customHeight="1" x14ac:dyDescent="0.25">
      <c r="A27" s="18" t="s">
        <v>125</v>
      </c>
      <c r="B27" s="95"/>
      <c r="C27" s="95"/>
      <c r="D27" s="95"/>
      <c r="E27" s="95"/>
      <c r="F27" s="95"/>
      <c r="G27" s="95"/>
      <c r="H27" s="95"/>
      <c r="I27" s="95"/>
      <c r="J27" s="95"/>
      <c r="K27" s="95"/>
      <c r="L27" s="95"/>
      <c r="M27" s="95"/>
      <c r="N27" s="95"/>
      <c r="O27" s="150">
        <f>SUM(Cash_payments_table_1[[#This Row],[Estimate]:[Period 12]])</f>
        <v>0</v>
      </c>
      <c r="P27" s="56" t="s">
        <v>258</v>
      </c>
      <c r="Q27" s="4"/>
      <c r="R27" s="5"/>
      <c r="S27" s="5"/>
      <c r="T27" s="5"/>
    </row>
    <row r="28" spans="1:390" ht="20.100000000000001" customHeight="1" x14ac:dyDescent="0.25">
      <c r="A28" s="40" t="s">
        <v>244</v>
      </c>
      <c r="B28" s="151"/>
      <c r="C28" s="151"/>
      <c r="D28" s="151"/>
      <c r="E28" s="151"/>
      <c r="F28" s="151"/>
      <c r="G28" s="151"/>
      <c r="H28" s="151"/>
      <c r="I28" s="151"/>
      <c r="J28" s="151"/>
      <c r="K28" s="151"/>
      <c r="L28" s="151"/>
      <c r="M28" s="151"/>
      <c r="N28" s="151"/>
      <c r="O28" s="152">
        <f>SUM(Cash_payments_table_1[[#This Row],[Estimate]:[Period 12]])</f>
        <v>0</v>
      </c>
      <c r="P28" s="56" t="s">
        <v>258</v>
      </c>
      <c r="Q28" s="4"/>
      <c r="R28" s="5"/>
      <c r="S28" s="5"/>
      <c r="T28" s="5"/>
    </row>
    <row r="29" spans="1:390" ht="20.100000000000001" customHeight="1" x14ac:dyDescent="0.25">
      <c r="A29" s="41" t="s">
        <v>129</v>
      </c>
      <c r="B29" s="153"/>
      <c r="C29" s="153"/>
      <c r="D29" s="153"/>
      <c r="E29" s="153"/>
      <c r="F29" s="153"/>
      <c r="G29" s="153"/>
      <c r="H29" s="153"/>
      <c r="I29" s="153"/>
      <c r="J29" s="153"/>
      <c r="K29" s="153"/>
      <c r="L29" s="153"/>
      <c r="M29" s="153"/>
      <c r="N29" s="153"/>
      <c r="O29" s="154">
        <f>SUM(Cash_payments_table_1[[#This Row],[Estimate]:[Period 12]])</f>
        <v>0</v>
      </c>
      <c r="P29" s="56" t="s">
        <v>258</v>
      </c>
      <c r="Q29" s="4"/>
      <c r="R29" s="5"/>
      <c r="S29" s="5"/>
      <c r="T29" s="5"/>
    </row>
    <row r="30" spans="1:390" ht="20.100000000000001" customHeight="1" x14ac:dyDescent="0.25">
      <c r="A30" s="18" t="s">
        <v>245</v>
      </c>
      <c r="B30" s="95"/>
      <c r="C30" s="95"/>
      <c r="D30" s="95"/>
      <c r="E30" s="95"/>
      <c r="F30" s="95"/>
      <c r="G30" s="95"/>
      <c r="H30" s="95"/>
      <c r="I30" s="95"/>
      <c r="J30" s="95"/>
      <c r="K30" s="95"/>
      <c r="L30" s="95"/>
      <c r="M30" s="95"/>
      <c r="N30" s="95"/>
      <c r="O30" s="150">
        <f>SUM(Cash_payments_table_1[[#This Row],[Estimate]:[Period 12]])</f>
        <v>0</v>
      </c>
      <c r="P30" s="56" t="s">
        <v>258</v>
      </c>
      <c r="Q30" s="4"/>
      <c r="R30" s="5"/>
      <c r="S30" s="5"/>
      <c r="T30" s="5"/>
    </row>
    <row r="31" spans="1:390" ht="20.100000000000001" customHeight="1" thickBot="1" x14ac:dyDescent="0.3">
      <c r="A31" s="18" t="s">
        <v>246</v>
      </c>
      <c r="B31" s="95"/>
      <c r="C31" s="95"/>
      <c r="D31" s="95"/>
      <c r="E31" s="95"/>
      <c r="F31" s="95"/>
      <c r="G31" s="95"/>
      <c r="H31" s="95"/>
      <c r="I31" s="95"/>
      <c r="J31" s="95"/>
      <c r="K31" s="95"/>
      <c r="L31" s="95"/>
      <c r="M31" s="95"/>
      <c r="N31" s="95"/>
      <c r="O31" s="150">
        <f>SUM(Cash_payments_table_1[[#This Row],[Estimate]:[Period 12]])</f>
        <v>0</v>
      </c>
      <c r="P31" s="56" t="s">
        <v>258</v>
      </c>
      <c r="Q31" s="4"/>
      <c r="R31" s="5"/>
      <c r="S31" s="5"/>
      <c r="T31" s="5"/>
    </row>
    <row r="32" spans="1:390" ht="30" customHeight="1" x14ac:dyDescent="0.25">
      <c r="A32" s="83" t="s">
        <v>247</v>
      </c>
      <c r="B32" s="155">
        <f>SUM(Cash_payments_table_1[Estimate],B19)</f>
        <v>0</v>
      </c>
      <c r="C32" s="155">
        <f>SUM(Cash_payments_table_1[Period 1],C19)</f>
        <v>0</v>
      </c>
      <c r="D32" s="155">
        <f>SUM(Cash_payments_table_1[Period 2],D19,D21)</f>
        <v>0</v>
      </c>
      <c r="E32" s="155">
        <f>SUM(Cash_payments_table_1[Period 3],E19,E21)</f>
        <v>0</v>
      </c>
      <c r="F32" s="155">
        <f>SUM(Cash_payments_table_1[Period 4],F19,F21)</f>
        <v>0</v>
      </c>
      <c r="G32" s="155">
        <f>SUM(Cash_payments_table_1[Period 5],G19,G21)</f>
        <v>0</v>
      </c>
      <c r="H32" s="155">
        <f>SUM(Cash_payments_table_1[Period 6],H19,H21)</f>
        <v>0</v>
      </c>
      <c r="I32" s="155">
        <f>SUM(Cash_payments_table_1[Period 7],I19,I21)</f>
        <v>0</v>
      </c>
      <c r="J32" s="155">
        <f>SUM(Cash_payments_table_1[Period 8],J19,J21)</f>
        <v>0</v>
      </c>
      <c r="K32" s="155">
        <f>SUM(Cash_payments_table_1[Period 9],K19,K21)</f>
        <v>0</v>
      </c>
      <c r="L32" s="155">
        <f>SUM(Cash_payments_table_1[Period 10],L19,L21)</f>
        <v>0</v>
      </c>
      <c r="M32" s="155">
        <f>SUM(Cash_payments_table_1[Period 11],M19,M21)</f>
        <v>0</v>
      </c>
      <c r="N32" s="155">
        <f>SUM(Cash_payments_table_1[Period 12],N19,N21)</f>
        <v>0</v>
      </c>
      <c r="O32" s="155">
        <f>SUM(Cash_payments_table_1[[#Totals],[Estimate]:[Period 12]])</f>
        <v>0</v>
      </c>
      <c r="P32" s="56" t="s">
        <v>258</v>
      </c>
      <c r="Q32" s="4"/>
      <c r="R32" s="5"/>
      <c r="S32" s="5"/>
      <c r="T32" s="5"/>
    </row>
    <row r="33" spans="1:20" ht="30" customHeight="1" x14ac:dyDescent="0.25">
      <c r="A33" s="17" t="s">
        <v>248</v>
      </c>
      <c r="B33" s="26" t="s">
        <v>217</v>
      </c>
      <c r="C33" s="26" t="s">
        <v>218</v>
      </c>
      <c r="D33" s="26" t="s">
        <v>219</v>
      </c>
      <c r="E33" s="26" t="s">
        <v>220</v>
      </c>
      <c r="F33" s="26" t="s">
        <v>221</v>
      </c>
      <c r="G33" s="26" t="s">
        <v>222</v>
      </c>
      <c r="H33" s="26" t="s">
        <v>223</v>
      </c>
      <c r="I33" s="26" t="s">
        <v>224</v>
      </c>
      <c r="J33" s="26" t="s">
        <v>225</v>
      </c>
      <c r="K33" s="26" t="s">
        <v>226</v>
      </c>
      <c r="L33" s="26" t="s">
        <v>227</v>
      </c>
      <c r="M33" s="26" t="s">
        <v>228</v>
      </c>
      <c r="N33" s="26" t="s">
        <v>229</v>
      </c>
      <c r="O33" s="27" t="s">
        <v>214</v>
      </c>
      <c r="P33" s="56" t="s">
        <v>258</v>
      </c>
      <c r="Q33" s="4"/>
      <c r="R33" s="5"/>
      <c r="S33" s="5"/>
      <c r="T33" s="5"/>
    </row>
    <row r="34" spans="1:20" ht="20.100000000000001" customHeight="1" x14ac:dyDescent="0.25">
      <c r="A34" s="18" t="s">
        <v>249</v>
      </c>
      <c r="B34" s="95"/>
      <c r="C34" s="95"/>
      <c r="D34" s="95"/>
      <c r="E34" s="95"/>
      <c r="F34" s="95"/>
      <c r="G34" s="95"/>
      <c r="H34" s="95"/>
      <c r="I34" s="95"/>
      <c r="J34" s="95"/>
      <c r="K34" s="95"/>
      <c r="L34" s="95"/>
      <c r="M34" s="95"/>
      <c r="N34" s="156"/>
      <c r="O34" s="150">
        <f>SUM(Financing_table_1[[#This Row],[Estimate]:[Period 12]])</f>
        <v>0</v>
      </c>
      <c r="P34" s="56" t="s">
        <v>258</v>
      </c>
      <c r="Q34" s="4"/>
      <c r="R34" s="5"/>
      <c r="S34" s="5"/>
      <c r="T34" s="5"/>
    </row>
    <row r="35" spans="1:20" ht="20.100000000000001" customHeight="1" x14ac:dyDescent="0.25">
      <c r="A35" s="18" t="s">
        <v>250</v>
      </c>
      <c r="B35" s="95"/>
      <c r="C35" s="95"/>
      <c r="D35" s="95"/>
      <c r="E35" s="95"/>
      <c r="F35" s="95"/>
      <c r="G35" s="95"/>
      <c r="H35" s="95"/>
      <c r="I35" s="95"/>
      <c r="J35" s="95"/>
      <c r="K35" s="95"/>
      <c r="L35" s="95"/>
      <c r="M35" s="95"/>
      <c r="N35" s="95"/>
      <c r="O35" s="150">
        <f>SUM(Financing_table_1[[#This Row],[Estimate]:[Period 12]])</f>
        <v>0</v>
      </c>
      <c r="P35" s="56" t="s">
        <v>258</v>
      </c>
      <c r="Q35" s="4"/>
      <c r="R35" s="5"/>
      <c r="S35" s="5"/>
      <c r="T35" s="5"/>
    </row>
    <row r="36" spans="1:20" ht="20.100000000000001" customHeight="1" x14ac:dyDescent="0.25">
      <c r="A36" s="40" t="s">
        <v>251</v>
      </c>
      <c r="B36" s="151"/>
      <c r="C36" s="151"/>
      <c r="D36" s="151"/>
      <c r="E36" s="151"/>
      <c r="F36" s="151"/>
      <c r="G36" s="151"/>
      <c r="H36" s="151"/>
      <c r="I36" s="151"/>
      <c r="J36" s="151"/>
      <c r="K36" s="151"/>
      <c r="L36" s="151"/>
      <c r="M36" s="151"/>
      <c r="N36" s="151"/>
      <c r="O36" s="152">
        <f>SUM(Financing_table_1[[#This Row],[Estimate]:[Period 12]])</f>
        <v>0</v>
      </c>
      <c r="P36" s="56" t="s">
        <v>258</v>
      </c>
      <c r="Q36" s="4"/>
      <c r="R36" s="5"/>
      <c r="S36" s="5"/>
      <c r="T36" s="5"/>
    </row>
    <row r="37" spans="1:20" ht="20.100000000000001" customHeight="1" x14ac:dyDescent="0.25">
      <c r="A37" s="41" t="s">
        <v>252</v>
      </c>
      <c r="B37" s="153"/>
      <c r="C37" s="153"/>
      <c r="D37" s="153"/>
      <c r="E37" s="153"/>
      <c r="F37" s="153"/>
      <c r="G37" s="153"/>
      <c r="H37" s="153"/>
      <c r="I37" s="153"/>
      <c r="J37" s="153"/>
      <c r="K37" s="153"/>
      <c r="L37" s="153"/>
      <c r="M37" s="153"/>
      <c r="N37" s="153"/>
      <c r="O37" s="154">
        <f>SUM(Financing_table_1[[#This Row],[Estimate]:[Period 12]])</f>
        <v>0</v>
      </c>
      <c r="P37" s="56" t="s">
        <v>258</v>
      </c>
      <c r="Q37" s="4"/>
      <c r="R37" s="5"/>
      <c r="S37" s="5"/>
      <c r="T37" s="5"/>
    </row>
    <row r="38" spans="1:20" ht="20.100000000000001" customHeight="1" x14ac:dyDescent="0.25">
      <c r="A38" s="18" t="s">
        <v>253</v>
      </c>
      <c r="B38" s="95"/>
      <c r="C38" s="95"/>
      <c r="D38" s="95"/>
      <c r="E38" s="95"/>
      <c r="F38" s="95"/>
      <c r="G38" s="95"/>
      <c r="H38" s="95"/>
      <c r="I38" s="95"/>
      <c r="J38" s="95"/>
      <c r="K38" s="95"/>
      <c r="L38" s="95"/>
      <c r="M38" s="95"/>
      <c r="N38" s="95"/>
      <c r="O38" s="150">
        <f>SUM(Financing_table_1[[#This Row],[Estimate]:[Period 12]])</f>
        <v>0</v>
      </c>
      <c r="P38" s="56" t="s">
        <v>258</v>
      </c>
      <c r="Q38" s="4"/>
      <c r="R38" s="5"/>
      <c r="S38" s="5"/>
      <c r="T38" s="5"/>
    </row>
    <row r="39" spans="1:20" ht="20.100000000000001" customHeight="1" thickBot="1" x14ac:dyDescent="0.3">
      <c r="A39" s="40" t="s">
        <v>254</v>
      </c>
      <c r="B39" s="151"/>
      <c r="C39" s="151"/>
      <c r="D39" s="151"/>
      <c r="E39" s="151"/>
      <c r="F39" s="151"/>
      <c r="G39" s="151"/>
      <c r="H39" s="151"/>
      <c r="I39" s="151"/>
      <c r="J39" s="151"/>
      <c r="K39" s="151"/>
      <c r="L39" s="151"/>
      <c r="M39" s="151"/>
      <c r="N39" s="151"/>
      <c r="O39" s="152">
        <f>SUM(Financing_table_1[[#This Row],[Estimate]:[Period 12]])</f>
        <v>0</v>
      </c>
      <c r="P39" s="56" t="s">
        <v>258</v>
      </c>
      <c r="Q39" s="4"/>
      <c r="R39" s="5"/>
      <c r="S39" s="5"/>
      <c r="T39" s="5"/>
    </row>
    <row r="40" spans="1:20" ht="30" customHeight="1" x14ac:dyDescent="0.25">
      <c r="A40" s="165" t="s">
        <v>255</v>
      </c>
      <c r="B40" s="166">
        <f t="shared" ref="B40:N40" si="16">SUM(-B34,B35:B36,-B37,B38:B39)</f>
        <v>0</v>
      </c>
      <c r="C40" s="166">
        <f t="shared" si="16"/>
        <v>0</v>
      </c>
      <c r="D40" s="166">
        <f t="shared" si="16"/>
        <v>0</v>
      </c>
      <c r="E40" s="166">
        <f>SUM(-E34,E35:E36,-E37,E38:E39)</f>
        <v>0</v>
      </c>
      <c r="F40" s="166">
        <f t="shared" si="16"/>
        <v>0</v>
      </c>
      <c r="G40" s="166">
        <f t="shared" si="16"/>
        <v>0</v>
      </c>
      <c r="H40" s="166">
        <f t="shared" si="16"/>
        <v>0</v>
      </c>
      <c r="I40" s="166">
        <f t="shared" si="16"/>
        <v>0</v>
      </c>
      <c r="J40" s="166">
        <f t="shared" si="16"/>
        <v>0</v>
      </c>
      <c r="K40" s="166">
        <f t="shared" si="16"/>
        <v>0</v>
      </c>
      <c r="L40" s="166">
        <f t="shared" si="16"/>
        <v>0</v>
      </c>
      <c r="M40" s="166">
        <f t="shared" si="16"/>
        <v>0</v>
      </c>
      <c r="N40" s="166">
        <f t="shared" si="16"/>
        <v>0</v>
      </c>
      <c r="O40" s="166">
        <f>SUM(Financing_table_1[[#Totals],[Estimate]:[Period 12]])</f>
        <v>0</v>
      </c>
      <c r="P40" s="56" t="s">
        <v>258</v>
      </c>
      <c r="Q40" s="4"/>
      <c r="R40" s="5"/>
      <c r="S40" s="5"/>
      <c r="T40" s="5"/>
    </row>
    <row r="41" spans="1:20" ht="30" customHeight="1" x14ac:dyDescent="0.25">
      <c r="A41" s="167" t="s">
        <v>256</v>
      </c>
      <c r="B41" s="168" t="s">
        <v>217</v>
      </c>
      <c r="C41" s="168" t="s">
        <v>218</v>
      </c>
      <c r="D41" s="168" t="s">
        <v>219</v>
      </c>
      <c r="E41" s="168" t="s">
        <v>220</v>
      </c>
      <c r="F41" s="168" t="s">
        <v>221</v>
      </c>
      <c r="G41" s="168" t="s">
        <v>222</v>
      </c>
      <c r="H41" s="168" t="s">
        <v>223</v>
      </c>
      <c r="I41" s="168" t="s">
        <v>224</v>
      </c>
      <c r="J41" s="168" t="s">
        <v>225</v>
      </c>
      <c r="K41" s="168" t="s">
        <v>226</v>
      </c>
      <c r="L41" s="168" t="s">
        <v>227</v>
      </c>
      <c r="M41" s="168" t="s">
        <v>228</v>
      </c>
      <c r="N41" s="168" t="s">
        <v>229</v>
      </c>
      <c r="O41" s="168" t="s">
        <v>214</v>
      </c>
      <c r="P41" s="56" t="s">
        <v>258</v>
      </c>
      <c r="Q41" s="4"/>
      <c r="R41" s="5"/>
      <c r="S41" s="5"/>
      <c r="T41" s="5"/>
    </row>
    <row r="42" spans="1:20" ht="50.1" customHeight="1" x14ac:dyDescent="0.25">
      <c r="A42" s="200" t="s">
        <v>257</v>
      </c>
      <c r="B42" s="132">
        <f>SUM(Opening_balance_and_revenue_table_1[Estimate],-Cash_payments_table_1[[#Totals],[Estimate]],Financing_table_1[[#Totals],[Estimate]])</f>
        <v>0</v>
      </c>
      <c r="C42" s="132">
        <f>SUM(Opening_balance_and_revenue_table_1[Period 1],-Cash_payments_table_1[[#Totals],[Period 1]],Financing_table_1[[#Totals],[Period 1]])</f>
        <v>0</v>
      </c>
      <c r="D42" s="132">
        <f>SUM(Opening_balance_and_revenue_table_1[Period 2],-Cash_payments_table_1[[#Totals],[Period 2]],Financing_table_1[[#Totals],[Period 2]])</f>
        <v>0</v>
      </c>
      <c r="E42" s="132">
        <f>SUM(Opening_balance_and_revenue_table_1[Period 3],-Cash_payments_table_1[[#Totals],[Period 3]],Financing_table_1[[#Totals],[Period 3]])</f>
        <v>0</v>
      </c>
      <c r="F42" s="132">
        <f>SUM(Opening_balance_and_revenue_table_1[Period 4],-Cash_payments_table_1[[#Totals],[Period 4]],Financing_table_1[[#Totals],[Period 4]])</f>
        <v>0</v>
      </c>
      <c r="G42" s="132">
        <f>SUM(Opening_balance_and_revenue_table_1[Period 5],-Cash_payments_table_1[[#Totals],[Period 5]],Financing_table_1[[#Totals],[Period 5]])</f>
        <v>0</v>
      </c>
      <c r="H42" s="132">
        <f>SUM(Opening_balance_and_revenue_table_1[Period 6],-Cash_payments_table_1[[#Totals],[Period 6]],Financing_table_1[[#Totals],[Period 6]])</f>
        <v>0</v>
      </c>
      <c r="I42" s="132">
        <f>SUM(Opening_balance_and_revenue_table_1[Period 7],-Cash_payments_table_1[[#Totals],[Period 7]],Financing_table_1[[#Totals],[Period 7]])</f>
        <v>0</v>
      </c>
      <c r="J42" s="132">
        <f>SUM(Opening_balance_and_revenue_table_1[Period 8],-Cash_payments_table_1[[#Totals],[Period 8]],Financing_table_1[[#Totals],[Period 8]])</f>
        <v>0</v>
      </c>
      <c r="K42" s="132">
        <f>SUM(Opening_balance_and_revenue_table_1[Period 9],-Cash_payments_table_1[[#Totals],[Period 9]],Financing_table_1[[#Totals],[Period 9]])</f>
        <v>0</v>
      </c>
      <c r="L42" s="132">
        <f>SUM(Opening_balance_and_revenue_table_1[Period 10],-Cash_payments_table_1[[#Totals],[Period 10]],Financing_table_1[[#Totals],[Period 10]])</f>
        <v>0</v>
      </c>
      <c r="M42" s="132">
        <f>SUM(Opening_balance_and_revenue_table_1[Period 11],-Cash_payments_table_1[[#Totals],[Period 11]],Financing_table_1[[#Totals],[Period 11]])</f>
        <v>0</v>
      </c>
      <c r="N42" s="132">
        <f>SUM(Opening_balance_and_revenue_table_1[Period 12],-Cash_payments_table_1[[#Totals],[Period 12]],Financing_table_1[[#Totals],[Period 12]])</f>
        <v>0</v>
      </c>
      <c r="O42" s="132"/>
      <c r="P42" s="56" t="s">
        <v>258</v>
      </c>
      <c r="Q42" s="4"/>
      <c r="R42" s="4"/>
      <c r="S42" s="4"/>
      <c r="T42" s="4"/>
    </row>
    <row r="43" spans="1:20" ht="30" hidden="1" customHeight="1" x14ac:dyDescent="0.25">
      <c r="A43" s="195" t="s">
        <v>237</v>
      </c>
      <c r="B43" s="193">
        <f>B42</f>
        <v>0</v>
      </c>
      <c r="C43" s="194">
        <f>SUM(C42,-B42)</f>
        <v>0</v>
      </c>
      <c r="D43" s="194">
        <f t="shared" ref="D43:N43" si="17">SUM(D42,-C42)</f>
        <v>0</v>
      </c>
      <c r="E43" s="194">
        <f>SUM(E42,-D42)</f>
        <v>0</v>
      </c>
      <c r="F43" s="194">
        <f t="shared" si="17"/>
        <v>0</v>
      </c>
      <c r="G43" s="194">
        <f t="shared" si="17"/>
        <v>0</v>
      </c>
      <c r="H43" s="194">
        <f t="shared" si="17"/>
        <v>0</v>
      </c>
      <c r="I43" s="194">
        <f t="shared" si="17"/>
        <v>0</v>
      </c>
      <c r="J43" s="194">
        <f t="shared" si="17"/>
        <v>0</v>
      </c>
      <c r="K43" s="194">
        <f t="shared" si="17"/>
        <v>0</v>
      </c>
      <c r="L43" s="194">
        <f t="shared" si="17"/>
        <v>0</v>
      </c>
      <c r="M43" s="194">
        <f t="shared" si="17"/>
        <v>0</v>
      </c>
      <c r="N43" s="194">
        <f t="shared" si="17"/>
        <v>0</v>
      </c>
      <c r="O43" s="164">
        <f>SUM(Liquidity_table_1[[#This Row],[Estimate]:[Period 12]])</f>
        <v>0</v>
      </c>
      <c r="P43" s="170" t="s">
        <v>258</v>
      </c>
      <c r="Q43" s="5"/>
      <c r="R43" s="5"/>
      <c r="S43" s="5"/>
      <c r="T43" s="5"/>
    </row>
    <row r="44" spans="1:20" ht="30" customHeight="1" x14ac:dyDescent="0.25">
      <c r="A44" s="171" t="s">
        <v>238</v>
      </c>
      <c r="B44" s="39" t="s">
        <v>64</v>
      </c>
      <c r="C44" s="39" t="s">
        <v>64</v>
      </c>
      <c r="D44" s="39" t="s">
        <v>64</v>
      </c>
      <c r="E44" s="39" t="s">
        <v>64</v>
      </c>
      <c r="F44" s="39" t="s">
        <v>64</v>
      </c>
      <c r="G44" s="39" t="s">
        <v>64</v>
      </c>
      <c r="H44" s="39" t="s">
        <v>64</v>
      </c>
      <c r="I44" s="39" t="s">
        <v>64</v>
      </c>
      <c r="J44" s="39" t="s">
        <v>64</v>
      </c>
      <c r="K44" s="39" t="s">
        <v>64</v>
      </c>
      <c r="L44" s="39" t="s">
        <v>64</v>
      </c>
      <c r="M44" s="39" t="s">
        <v>64</v>
      </c>
      <c r="N44" s="39" t="s">
        <v>64</v>
      </c>
      <c r="O44" s="39" t="s">
        <v>64</v>
      </c>
      <c r="P44" s="56" t="s">
        <v>258</v>
      </c>
      <c r="Q44" s="5"/>
      <c r="R44" s="5"/>
      <c r="S44" s="5"/>
      <c r="T44" s="5"/>
    </row>
    <row r="45" spans="1:20" ht="180" customHeight="1" x14ac:dyDescent="0.25">
      <c r="A45" s="173" t="s">
        <v>239</v>
      </c>
      <c r="B45" s="39" t="s">
        <v>64</v>
      </c>
      <c r="C45" s="39" t="s">
        <v>64</v>
      </c>
      <c r="D45" s="39" t="s">
        <v>64</v>
      </c>
      <c r="E45" s="39" t="s">
        <v>64</v>
      </c>
      <c r="F45" s="39" t="s">
        <v>64</v>
      </c>
      <c r="G45" s="39" t="s">
        <v>64</v>
      </c>
      <c r="H45" s="39" t="s">
        <v>64</v>
      </c>
      <c r="I45" s="39" t="s">
        <v>64</v>
      </c>
      <c r="J45" s="39" t="s">
        <v>64</v>
      </c>
      <c r="K45" s="39" t="s">
        <v>64</v>
      </c>
      <c r="L45" s="39" t="s">
        <v>64</v>
      </c>
      <c r="M45" s="39" t="s">
        <v>64</v>
      </c>
      <c r="N45" s="39" t="s">
        <v>64</v>
      </c>
      <c r="O45" s="39" t="s">
        <v>64</v>
      </c>
      <c r="P45" s="56" t="s">
        <v>258</v>
      </c>
      <c r="Q45" s="4" t="s">
        <v>259</v>
      </c>
    </row>
    <row r="46" spans="1:20" ht="18" customHeight="1" x14ac:dyDescent="0.25">
      <c r="A46" s="174" t="s">
        <v>7</v>
      </c>
      <c r="B46" s="39" t="s">
        <v>64</v>
      </c>
      <c r="C46" s="39" t="s">
        <v>64</v>
      </c>
      <c r="D46" s="39" t="s">
        <v>64</v>
      </c>
      <c r="E46" s="39" t="s">
        <v>64</v>
      </c>
      <c r="F46" s="39" t="s">
        <v>64</v>
      </c>
      <c r="G46" s="39" t="s">
        <v>64</v>
      </c>
      <c r="H46" s="39" t="s">
        <v>64</v>
      </c>
      <c r="I46" s="39" t="s">
        <v>64</v>
      </c>
      <c r="J46" s="39" t="s">
        <v>64</v>
      </c>
      <c r="K46" s="39" t="s">
        <v>64</v>
      </c>
      <c r="L46" s="39" t="s">
        <v>64</v>
      </c>
      <c r="M46" s="39" t="s">
        <v>64</v>
      </c>
      <c r="N46" s="39" t="s">
        <v>64</v>
      </c>
      <c r="O46" s="39" t="s">
        <v>64</v>
      </c>
      <c r="P46" s="170" t="s">
        <v>258</v>
      </c>
      <c r="Q46" s="5"/>
      <c r="R46" s="5"/>
      <c r="S46" s="5"/>
      <c r="T46" s="5"/>
    </row>
    <row r="47" spans="1:20" ht="3.95" customHeight="1" x14ac:dyDescent="0.25">
      <c r="A47" s="56" t="s">
        <v>259</v>
      </c>
      <c r="B47" s="56" t="s">
        <v>259</v>
      </c>
      <c r="C47" s="56" t="s">
        <v>259</v>
      </c>
      <c r="D47" s="56" t="s">
        <v>259</v>
      </c>
      <c r="E47" s="56" t="s">
        <v>259</v>
      </c>
      <c r="F47" s="56" t="s">
        <v>259</v>
      </c>
      <c r="G47" s="56" t="s">
        <v>259</v>
      </c>
      <c r="H47" s="56" t="s">
        <v>259</v>
      </c>
      <c r="I47" s="56" t="s">
        <v>259</v>
      </c>
      <c r="J47" s="56" t="s">
        <v>259</v>
      </c>
      <c r="K47" s="56" t="s">
        <v>259</v>
      </c>
      <c r="L47" s="56" t="s">
        <v>259</v>
      </c>
      <c r="M47" s="56" t="s">
        <v>259</v>
      </c>
      <c r="N47" s="56" t="s">
        <v>259</v>
      </c>
      <c r="O47" s="56" t="s">
        <v>259</v>
      </c>
      <c r="P47" s="170" t="s">
        <v>258</v>
      </c>
    </row>
  </sheetData>
  <sheetProtection sheet="1" objects="1" scenarios="1"/>
  <conditionalFormatting sqref="C9:O9 B17:O17 B42:O43">
    <cfRule type="expression" dxfId="2" priority="3">
      <formula>B9&lt;0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4" id="{42E76221-8319-3E4E-95E9-EB18888182D6}">
            <x14:iconSet iconSet="3Flags" custom="1">
              <x14:cfvo type="percent">
                <xm:f>0</xm:f>
              </x14:cfvo>
              <x14:cfvo type="num">
                <xm:f>0</xm:f>
              </x14:cfvo>
              <x14:cfvo type="num">
                <xm:f>1</xm:f>
              </x14:cfvo>
              <x14:cfIcon iconSet="3Flags" iconId="0"/>
              <x14:cfIcon iconSet="NoIcons" iconId="0"/>
              <x14:cfIcon iconSet="NoIcons" iconId="0"/>
            </x14:iconSet>
          </x14:cfRule>
          <xm:sqref>B17:O17 C9:O9</xm:sqref>
        </x14:conditionalFormatting>
        <x14:conditionalFormatting xmlns:xm="http://schemas.microsoft.com/office/excel/2006/main">
          <x14:cfRule type="iconSet" priority="6" id="{5C607068-8A4F-0042-BF0B-735B67B3B873}">
            <x14:iconSet iconSet="3Flags" custom="1">
              <x14:cfvo type="percent">
                <xm:f>0</xm:f>
              </x14:cfvo>
              <x14:cfvo type="num" gte="0">
                <xm:f>0</xm:f>
              </x14:cfvo>
              <x14:cfvo type="num" gte="0">
                <xm:f>1</xm:f>
              </x14:cfvo>
              <x14:cfIcon iconSet="3Flags" iconId="0"/>
              <x14:cfIcon iconSet="NoIcons" iconId="0"/>
              <x14:cfIcon iconSet="NoIcons" iconId="0"/>
            </x14:iconSet>
          </x14:cfRule>
          <xm:sqref>B42:O43</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9D5F4-B8EA-304C-A54E-C5E865B73DEF}">
  <dimension ref="A1:NX47"/>
  <sheetViews>
    <sheetView zoomScale="80" zoomScaleNormal="80" workbookViewId="0">
      <selection activeCell="F2" sqref="F2"/>
    </sheetView>
  </sheetViews>
  <sheetFormatPr defaultColWidth="10.875" defaultRowHeight="18" x14ac:dyDescent="0.25"/>
  <cols>
    <col min="1" max="1" width="73.875" style="2" customWidth="1"/>
    <col min="2" max="14" width="23.875" style="2" customWidth="1"/>
    <col min="15" max="15" width="0.625" style="2" customWidth="1"/>
    <col min="16" max="16384" width="10.875" style="2"/>
  </cols>
  <sheetData>
    <row r="1" spans="1:18" ht="60" customHeight="1" x14ac:dyDescent="0.25">
      <c r="A1" s="56" t="s">
        <v>260</v>
      </c>
      <c r="B1" s="39" t="s">
        <v>64</v>
      </c>
      <c r="C1" s="39" t="s">
        <v>64</v>
      </c>
      <c r="D1" s="39" t="s">
        <v>64</v>
      </c>
      <c r="E1" s="39" t="s">
        <v>64</v>
      </c>
      <c r="F1" s="39" t="s">
        <v>64</v>
      </c>
      <c r="G1" s="39" t="s">
        <v>64</v>
      </c>
      <c r="H1" s="39" t="s">
        <v>64</v>
      </c>
      <c r="I1" s="39" t="s">
        <v>64</v>
      </c>
      <c r="J1" s="39" t="s">
        <v>64</v>
      </c>
      <c r="K1" s="39" t="s">
        <v>64</v>
      </c>
      <c r="L1" s="39" t="s">
        <v>64</v>
      </c>
      <c r="M1" s="39" t="s">
        <v>64</v>
      </c>
      <c r="N1" s="39" t="s">
        <v>64</v>
      </c>
      <c r="O1" s="56" t="s">
        <v>262</v>
      </c>
    </row>
    <row r="2" spans="1:18" ht="30" customHeight="1" x14ac:dyDescent="0.25">
      <c r="A2" s="1" t="s">
        <v>204</v>
      </c>
      <c r="B2" s="39" t="s">
        <v>64</v>
      </c>
      <c r="C2" s="39" t="s">
        <v>64</v>
      </c>
      <c r="D2" s="39" t="s">
        <v>64</v>
      </c>
      <c r="E2" s="39" t="s">
        <v>64</v>
      </c>
      <c r="F2" s="39" t="s">
        <v>64</v>
      </c>
      <c r="G2" s="39" t="s">
        <v>64</v>
      </c>
      <c r="H2" s="39" t="s">
        <v>64</v>
      </c>
      <c r="I2" s="39" t="s">
        <v>64</v>
      </c>
      <c r="J2" s="39" t="s">
        <v>64</v>
      </c>
      <c r="K2" s="39" t="s">
        <v>64</v>
      </c>
      <c r="L2" s="39" t="s">
        <v>64</v>
      </c>
      <c r="M2" s="39" t="s">
        <v>64</v>
      </c>
      <c r="N2" s="39" t="s">
        <v>64</v>
      </c>
      <c r="O2" s="56" t="s">
        <v>262</v>
      </c>
      <c r="P2" s="5"/>
      <c r="Q2" s="5"/>
      <c r="R2" s="5"/>
    </row>
    <row r="3" spans="1:18" ht="24.95" customHeight="1" x14ac:dyDescent="0.25">
      <c r="A3" s="2" t="s">
        <v>261</v>
      </c>
      <c r="B3" s="39" t="s">
        <v>64</v>
      </c>
      <c r="C3" s="39" t="s">
        <v>64</v>
      </c>
      <c r="D3" s="39" t="s">
        <v>64</v>
      </c>
      <c r="E3" s="39" t="s">
        <v>64</v>
      </c>
      <c r="F3" s="39" t="s">
        <v>64</v>
      </c>
      <c r="G3" s="39" t="s">
        <v>64</v>
      </c>
      <c r="H3" s="39" t="s">
        <v>64</v>
      </c>
      <c r="I3" s="39" t="s">
        <v>64</v>
      </c>
      <c r="J3" s="39" t="s">
        <v>64</v>
      </c>
      <c r="K3" s="39" t="s">
        <v>64</v>
      </c>
      <c r="L3" s="39" t="s">
        <v>64</v>
      </c>
      <c r="M3" s="39" t="s">
        <v>64</v>
      </c>
      <c r="N3" s="39" t="s">
        <v>64</v>
      </c>
      <c r="O3" s="56" t="s">
        <v>262</v>
      </c>
      <c r="P3" s="5"/>
      <c r="Q3" s="5"/>
      <c r="R3" s="5"/>
    </row>
    <row r="4" spans="1:18" ht="18.75" x14ac:dyDescent="0.25">
      <c r="A4" s="6" t="s">
        <v>206</v>
      </c>
      <c r="B4" s="39" t="s">
        <v>64</v>
      </c>
      <c r="C4" s="39" t="s">
        <v>64</v>
      </c>
      <c r="D4" s="39" t="s">
        <v>64</v>
      </c>
      <c r="E4" s="39" t="s">
        <v>64</v>
      </c>
      <c r="F4" s="39" t="s">
        <v>64</v>
      </c>
      <c r="G4" s="39" t="s">
        <v>64</v>
      </c>
      <c r="H4" s="39" t="s">
        <v>64</v>
      </c>
      <c r="I4" s="39" t="s">
        <v>64</v>
      </c>
      <c r="J4" s="39" t="s">
        <v>64</v>
      </c>
      <c r="K4" s="39" t="s">
        <v>64</v>
      </c>
      <c r="L4" s="39" t="s">
        <v>64</v>
      </c>
      <c r="M4" s="39" t="s">
        <v>64</v>
      </c>
      <c r="N4" s="39" t="s">
        <v>64</v>
      </c>
      <c r="O4" s="56" t="s">
        <v>262</v>
      </c>
      <c r="P4" s="5"/>
      <c r="Q4" s="5"/>
      <c r="R4" s="5"/>
    </row>
    <row r="5" spans="1:18" ht="30" customHeight="1" x14ac:dyDescent="0.25">
      <c r="A5" s="157">
        <v>25.5</v>
      </c>
      <c r="B5" s="39" t="s">
        <v>64</v>
      </c>
      <c r="C5" s="39" t="s">
        <v>64</v>
      </c>
      <c r="D5" s="39" t="s">
        <v>64</v>
      </c>
      <c r="E5" s="39" t="s">
        <v>64</v>
      </c>
      <c r="F5" s="39" t="s">
        <v>64</v>
      </c>
      <c r="G5" s="39" t="s">
        <v>64</v>
      </c>
      <c r="H5" s="39" t="s">
        <v>64</v>
      </c>
      <c r="I5" s="39" t="s">
        <v>64</v>
      </c>
      <c r="J5" s="39" t="s">
        <v>64</v>
      </c>
      <c r="K5" s="39" t="s">
        <v>64</v>
      </c>
      <c r="L5" s="39" t="s">
        <v>64</v>
      </c>
      <c r="M5" s="39" t="s">
        <v>64</v>
      </c>
      <c r="N5" s="39" t="s">
        <v>64</v>
      </c>
      <c r="O5" s="56" t="s">
        <v>262</v>
      </c>
      <c r="P5" s="5"/>
      <c r="Q5" s="5"/>
      <c r="R5" s="5"/>
    </row>
    <row r="6" spans="1:18" ht="18.75" x14ac:dyDescent="0.25">
      <c r="A6" s="6" t="s">
        <v>207</v>
      </c>
      <c r="B6" s="39" t="s">
        <v>64</v>
      </c>
      <c r="C6" s="39" t="s">
        <v>64</v>
      </c>
      <c r="D6" s="39" t="s">
        <v>64</v>
      </c>
      <c r="E6" s="39" t="s">
        <v>64</v>
      </c>
      <c r="F6" s="39" t="s">
        <v>64</v>
      </c>
      <c r="G6" s="39" t="s">
        <v>64</v>
      </c>
      <c r="H6" s="39" t="s">
        <v>64</v>
      </c>
      <c r="I6" s="39" t="s">
        <v>64</v>
      </c>
      <c r="J6" s="39" t="s">
        <v>64</v>
      </c>
      <c r="K6" s="39" t="s">
        <v>64</v>
      </c>
      <c r="L6" s="39" t="s">
        <v>64</v>
      </c>
      <c r="M6" s="39" t="s">
        <v>64</v>
      </c>
      <c r="N6" s="39" t="s">
        <v>64</v>
      </c>
      <c r="O6" s="56" t="s">
        <v>262</v>
      </c>
      <c r="P6" s="5"/>
      <c r="Q6" s="5"/>
      <c r="R6" s="5"/>
    </row>
    <row r="7" spans="1:18" ht="39.950000000000003" customHeight="1" x14ac:dyDescent="0.25">
      <c r="A7" s="42">
        <v>46388</v>
      </c>
      <c r="B7" s="43" t="str">
        <f>UPPER(TEXT(Financial_year_start,"[$-0809]kkk"))</f>
        <v>JAN</v>
      </c>
      <c r="C7" s="43" t="str">
        <f>UPPER(TEXT(EOMONTH(Financial_year_start,1),"[$-0809]kkk"))</f>
        <v>FEB</v>
      </c>
      <c r="D7" s="43" t="str">
        <f>UPPER(TEXT(EOMONTH(Financial_year_start,2),"[$-0809]kkk"))</f>
        <v>MAR</v>
      </c>
      <c r="E7" s="43" t="str">
        <f>UPPER(TEXT(EOMONTH(Financial_year_start,3),"[$-0809]kkk"))</f>
        <v>APR</v>
      </c>
      <c r="F7" s="43" t="str">
        <f>UPPER(TEXT(EOMONTH(Financial_year_start,4),"[$-0809]kkk"))</f>
        <v>MAY</v>
      </c>
      <c r="G7" s="43" t="str">
        <f>UPPER(TEXT(EOMONTH(Financial_year_start,5),"[$-0809]kkk"))</f>
        <v>JUN</v>
      </c>
      <c r="H7" s="43" t="str">
        <f>UPPER(TEXT(EOMONTH(Financial_year_start,6),"[$-0809]kkk"))</f>
        <v>JUL</v>
      </c>
      <c r="I7" s="43" t="str">
        <f>UPPER(TEXT(EOMONTH(Financial_year_start,7),"[$-0809]kkk"))</f>
        <v>AUG</v>
      </c>
      <c r="J7" s="43" t="str">
        <f>UPPER(TEXT(EOMONTH(Financial_year_start,8),"[$-0809]kkk"))</f>
        <v>SEP</v>
      </c>
      <c r="K7" s="43" t="str">
        <f>UPPER(TEXT(EOMONTH(Financial_year_start,9),"[$-0809]kkk"))</f>
        <v>OCT</v>
      </c>
      <c r="L7" s="43" t="str">
        <f>UPPER(TEXT(EOMONTH(Financial_year_start,10),"[$-0809]kkk"))</f>
        <v>NOV</v>
      </c>
      <c r="M7" s="43" t="str">
        <f>UPPER(TEXT(EOMONTH(Financial_year_start,11),"[$-0809]kkk"))</f>
        <v>DEC</v>
      </c>
      <c r="N7" s="43" t="s">
        <v>230</v>
      </c>
      <c r="O7" s="56" t="s">
        <v>262</v>
      </c>
      <c r="P7" s="5"/>
      <c r="Q7" s="5"/>
      <c r="R7" s="5"/>
    </row>
    <row r="8" spans="1:18" ht="30" customHeight="1" x14ac:dyDescent="0.25">
      <c r="A8" s="44" t="s">
        <v>208</v>
      </c>
      <c r="B8" s="26" t="s">
        <v>218</v>
      </c>
      <c r="C8" s="26" t="s">
        <v>219</v>
      </c>
      <c r="D8" s="26" t="s">
        <v>220</v>
      </c>
      <c r="E8" s="26" t="s">
        <v>221</v>
      </c>
      <c r="F8" s="26" t="s">
        <v>222</v>
      </c>
      <c r="G8" s="26" t="s">
        <v>223</v>
      </c>
      <c r="H8" s="26" t="s">
        <v>224</v>
      </c>
      <c r="I8" s="26" t="s">
        <v>225</v>
      </c>
      <c r="J8" s="26" t="s">
        <v>226</v>
      </c>
      <c r="K8" s="26" t="s">
        <v>227</v>
      </c>
      <c r="L8" s="26" t="s">
        <v>228</v>
      </c>
      <c r="M8" s="26" t="s">
        <v>229</v>
      </c>
      <c r="N8" s="27" t="s">
        <v>214</v>
      </c>
      <c r="O8" s="56" t="s">
        <v>262</v>
      </c>
      <c r="P8" s="5"/>
      <c r="Q8" s="5"/>
      <c r="R8" s="5"/>
    </row>
    <row r="9" spans="1:18" ht="30" customHeight="1" x14ac:dyDescent="0.25">
      <c r="A9" s="45" t="s">
        <v>209</v>
      </c>
      <c r="B9" s="132">
        <f>'Cash flow calculation (Y1)'!N42</f>
        <v>0</v>
      </c>
      <c r="C9" s="132">
        <f>B42</f>
        <v>0</v>
      </c>
      <c r="D9" s="132">
        <f t="shared" ref="D9:M9" si="0">C42</f>
        <v>0</v>
      </c>
      <c r="E9" s="132">
        <f t="shared" si="0"/>
        <v>0</v>
      </c>
      <c r="F9" s="132">
        <f t="shared" si="0"/>
        <v>0</v>
      </c>
      <c r="G9" s="132">
        <f t="shared" si="0"/>
        <v>0</v>
      </c>
      <c r="H9" s="132">
        <f t="shared" si="0"/>
        <v>0</v>
      </c>
      <c r="I9" s="132">
        <f t="shared" si="0"/>
        <v>0</v>
      </c>
      <c r="J9" s="132">
        <f t="shared" si="0"/>
        <v>0</v>
      </c>
      <c r="K9" s="132">
        <f t="shared" si="0"/>
        <v>0</v>
      </c>
      <c r="L9" s="132">
        <f t="shared" si="0"/>
        <v>0</v>
      </c>
      <c r="M9" s="132">
        <f t="shared" si="0"/>
        <v>0</v>
      </c>
      <c r="N9" s="132"/>
      <c r="O9" s="56" t="s">
        <v>262</v>
      </c>
      <c r="P9" s="5"/>
      <c r="Q9" s="5"/>
      <c r="R9" s="5"/>
    </row>
    <row r="10" spans="1:18" ht="30" customHeight="1" x14ac:dyDescent="0.25">
      <c r="A10" s="17" t="s">
        <v>210</v>
      </c>
      <c r="B10" s="26" t="s">
        <v>218</v>
      </c>
      <c r="C10" s="26" t="s">
        <v>219</v>
      </c>
      <c r="D10" s="26" t="s">
        <v>220</v>
      </c>
      <c r="E10" s="26" t="s">
        <v>221</v>
      </c>
      <c r="F10" s="26" t="s">
        <v>222</v>
      </c>
      <c r="G10" s="26" t="s">
        <v>223</v>
      </c>
      <c r="H10" s="26" t="s">
        <v>224</v>
      </c>
      <c r="I10" s="26" t="s">
        <v>225</v>
      </c>
      <c r="J10" s="26" t="s">
        <v>226</v>
      </c>
      <c r="K10" s="26" t="s">
        <v>227</v>
      </c>
      <c r="L10" s="26" t="s">
        <v>228</v>
      </c>
      <c r="M10" s="26" t="s">
        <v>229</v>
      </c>
      <c r="N10" s="27" t="s">
        <v>214</v>
      </c>
      <c r="O10" s="56" t="s">
        <v>262</v>
      </c>
      <c r="P10" s="5"/>
      <c r="Q10" s="5"/>
      <c r="R10" s="5"/>
    </row>
    <row r="11" spans="1:18" ht="20.100000000000001" customHeight="1" x14ac:dyDescent="0.25">
      <c r="A11" s="46" t="s">
        <v>211</v>
      </c>
      <c r="B11" s="134"/>
      <c r="C11" s="134"/>
      <c r="D11" s="134"/>
      <c r="E11" s="134"/>
      <c r="F11" s="134"/>
      <c r="G11" s="134"/>
      <c r="H11" s="134"/>
      <c r="I11" s="134"/>
      <c r="J11" s="134"/>
      <c r="K11" s="134"/>
      <c r="L11" s="134"/>
      <c r="M11" s="135"/>
      <c r="N11" s="136">
        <f>SUM(Cash_receipts_table_2[[#This Row],[Period 1]:[Period 12]])</f>
        <v>0</v>
      </c>
      <c r="O11" s="56" t="s">
        <v>262</v>
      </c>
      <c r="P11" s="5"/>
      <c r="Q11" s="5"/>
      <c r="R11" s="5"/>
    </row>
    <row r="12" spans="1:18" ht="20.100000000000001" customHeight="1" x14ac:dyDescent="0.25">
      <c r="A12" s="47" t="s">
        <v>212</v>
      </c>
      <c r="B12" s="138"/>
      <c r="C12" s="138"/>
      <c r="D12" s="138"/>
      <c r="E12" s="138"/>
      <c r="F12" s="138"/>
      <c r="G12" s="138"/>
      <c r="H12" s="138"/>
      <c r="I12" s="138"/>
      <c r="J12" s="138"/>
      <c r="K12" s="138"/>
      <c r="L12" s="138"/>
      <c r="M12" s="139"/>
      <c r="N12" s="140">
        <f>SUM(Cash_receipts_table_2[[#This Row],[Period 1]:[Period 12]])</f>
        <v>0</v>
      </c>
      <c r="O12" s="56" t="s">
        <v>262</v>
      </c>
      <c r="P12" s="5"/>
      <c r="Q12" s="5"/>
      <c r="R12" s="5"/>
    </row>
    <row r="13" spans="1:18" ht="20.100000000000001" customHeight="1" thickBot="1" x14ac:dyDescent="0.3">
      <c r="A13" s="48" t="s">
        <v>213</v>
      </c>
      <c r="B13" s="142"/>
      <c r="C13" s="142"/>
      <c r="D13" s="142"/>
      <c r="E13" s="142"/>
      <c r="F13" s="142"/>
      <c r="G13" s="142"/>
      <c r="H13" s="142"/>
      <c r="I13" s="142"/>
      <c r="J13" s="142"/>
      <c r="K13" s="142"/>
      <c r="L13" s="142"/>
      <c r="M13" s="143"/>
      <c r="N13" s="144">
        <f>SUM(Cash_receipts_table_2[[#This Row],[Period 1]:[Period 12]])</f>
        <v>0</v>
      </c>
      <c r="O13" s="56" t="s">
        <v>262</v>
      </c>
      <c r="P13" s="5"/>
      <c r="Q13" s="5"/>
      <c r="R13" s="5"/>
    </row>
    <row r="14" spans="1:18" ht="30" customHeight="1" x14ac:dyDescent="0.25">
      <c r="A14" s="80" t="s">
        <v>214</v>
      </c>
      <c r="B14" s="145">
        <f t="shared" ref="B14:M14" si="1">SUM(B11:B13)</f>
        <v>0</v>
      </c>
      <c r="C14" s="145">
        <f t="shared" si="1"/>
        <v>0</v>
      </c>
      <c r="D14" s="145">
        <f t="shared" si="1"/>
        <v>0</v>
      </c>
      <c r="E14" s="145">
        <f t="shared" si="1"/>
        <v>0</v>
      </c>
      <c r="F14" s="145">
        <f t="shared" si="1"/>
        <v>0</v>
      </c>
      <c r="G14" s="145">
        <f t="shared" si="1"/>
        <v>0</v>
      </c>
      <c r="H14" s="145">
        <f t="shared" si="1"/>
        <v>0</v>
      </c>
      <c r="I14" s="145">
        <f t="shared" si="1"/>
        <v>0</v>
      </c>
      <c r="J14" s="145">
        <f t="shared" si="1"/>
        <v>0</v>
      </c>
      <c r="K14" s="145">
        <f t="shared" si="1"/>
        <v>0</v>
      </c>
      <c r="L14" s="145">
        <f t="shared" si="1"/>
        <v>0</v>
      </c>
      <c r="M14" s="145">
        <f t="shared" si="1"/>
        <v>0</v>
      </c>
      <c r="N14" s="146">
        <f>SUM(Cash_receipts_table_2[[#This Row],[Period 1]:[Period 12]])</f>
        <v>0</v>
      </c>
      <c r="O14" s="56" t="s">
        <v>262</v>
      </c>
      <c r="P14" s="5"/>
      <c r="Q14" s="5"/>
      <c r="R14" s="5"/>
    </row>
    <row r="15" spans="1:18" ht="30" customHeight="1" x14ac:dyDescent="0.25">
      <c r="A15" s="82" t="s">
        <v>215</v>
      </c>
      <c r="B15" s="147">
        <f>B14*(1+(Value_added_tax_rate/100))</f>
        <v>0</v>
      </c>
      <c r="C15" s="147">
        <f t="shared" ref="C15:M15" si="2">C14*(1+(Value_added_tax_rate/100))</f>
        <v>0</v>
      </c>
      <c r="D15" s="147">
        <f t="shared" si="2"/>
        <v>0</v>
      </c>
      <c r="E15" s="147">
        <f t="shared" si="2"/>
        <v>0</v>
      </c>
      <c r="F15" s="147">
        <f t="shared" si="2"/>
        <v>0</v>
      </c>
      <c r="G15" s="147">
        <f t="shared" si="2"/>
        <v>0</v>
      </c>
      <c r="H15" s="147">
        <f t="shared" si="2"/>
        <v>0</v>
      </c>
      <c r="I15" s="147">
        <f t="shared" si="2"/>
        <v>0</v>
      </c>
      <c r="J15" s="147">
        <f t="shared" si="2"/>
        <v>0</v>
      </c>
      <c r="K15" s="147">
        <f t="shared" si="2"/>
        <v>0</v>
      </c>
      <c r="L15" s="147">
        <f t="shared" si="2"/>
        <v>0</v>
      </c>
      <c r="M15" s="147">
        <f t="shared" si="2"/>
        <v>0</v>
      </c>
      <c r="N15" s="147">
        <f>SUM(Cash_receipts_table_2[[#This Row],[Period 1]:[Period 12]])</f>
        <v>0</v>
      </c>
      <c r="O15" s="56" t="s">
        <v>262</v>
      </c>
      <c r="P15" s="5"/>
      <c r="Q15" s="5"/>
      <c r="R15" s="5"/>
    </row>
    <row r="16" spans="1:18" ht="30" customHeight="1" x14ac:dyDescent="0.25">
      <c r="A16" s="49" t="s">
        <v>231</v>
      </c>
      <c r="B16" s="26" t="s">
        <v>218</v>
      </c>
      <c r="C16" s="26" t="s">
        <v>219</v>
      </c>
      <c r="D16" s="26" t="s">
        <v>220</v>
      </c>
      <c r="E16" s="26" t="s">
        <v>221</v>
      </c>
      <c r="F16" s="26" t="s">
        <v>222</v>
      </c>
      <c r="G16" s="26" t="s">
        <v>223</v>
      </c>
      <c r="H16" s="26" t="s">
        <v>224</v>
      </c>
      <c r="I16" s="26" t="s">
        <v>225</v>
      </c>
      <c r="J16" s="26" t="s">
        <v>226</v>
      </c>
      <c r="K16" s="26" t="s">
        <v>227</v>
      </c>
      <c r="L16" s="26" t="s">
        <v>228</v>
      </c>
      <c r="M16" s="26" t="s">
        <v>229</v>
      </c>
      <c r="N16" s="27" t="s">
        <v>214</v>
      </c>
      <c r="O16" s="56" t="s">
        <v>262</v>
      </c>
      <c r="P16" s="5"/>
      <c r="Q16" s="5"/>
      <c r="R16" s="5"/>
    </row>
    <row r="17" spans="1:388" ht="30" customHeight="1" x14ac:dyDescent="0.25">
      <c r="A17" s="45" t="s">
        <v>232</v>
      </c>
      <c r="B17" s="132">
        <f>SUM(Opening_balance_table_2[Period 1],B15)</f>
        <v>0</v>
      </c>
      <c r="C17" s="132">
        <f>SUM(Opening_balance_table_2[Period 2],C15)</f>
        <v>0</v>
      </c>
      <c r="D17" s="132">
        <f>SUM(Opening_balance_table_2[Period 3],D15)</f>
        <v>0</v>
      </c>
      <c r="E17" s="132">
        <f>SUM(Opening_balance_table_2[Period 4],E15)</f>
        <v>0</v>
      </c>
      <c r="F17" s="132">
        <f>SUM(Opening_balance_table_2[Period 5],F15)</f>
        <v>0</v>
      </c>
      <c r="G17" s="132">
        <f>SUM(Opening_balance_table_2[Period 6],G15)</f>
        <v>0</v>
      </c>
      <c r="H17" s="132">
        <f>SUM(Opening_balance_table_2[Period 7],H15)</f>
        <v>0</v>
      </c>
      <c r="I17" s="132">
        <f>SUM(Opening_balance_table_2[Period 8],I15)</f>
        <v>0</v>
      </c>
      <c r="J17" s="132">
        <f>SUM(Opening_balance_table_2[Period 9],J15)</f>
        <v>0</v>
      </c>
      <c r="K17" s="132">
        <f>SUM(Opening_balance_table_2[Period 10],K15)</f>
        <v>0</v>
      </c>
      <c r="L17" s="132">
        <f>SUM(Opening_balance_table_2[Period 11],L15)</f>
        <v>0</v>
      </c>
      <c r="M17" s="132">
        <f>SUM(Opening_balance_table_2[Period 12],M15)</f>
        <v>0</v>
      </c>
      <c r="N17" s="132"/>
      <c r="O17" s="56" t="s">
        <v>262</v>
      </c>
      <c r="P17" s="5"/>
      <c r="Q17" s="5"/>
      <c r="R17" s="5"/>
    </row>
    <row r="18" spans="1:388" ht="30" customHeight="1" x14ac:dyDescent="0.25">
      <c r="A18" s="49" t="s">
        <v>233</v>
      </c>
      <c r="B18" s="26" t="s">
        <v>218</v>
      </c>
      <c r="C18" s="26" t="s">
        <v>219</v>
      </c>
      <c r="D18" s="26" t="s">
        <v>220</v>
      </c>
      <c r="E18" s="26" t="s">
        <v>221</v>
      </c>
      <c r="F18" s="26" t="s">
        <v>222</v>
      </c>
      <c r="G18" s="26" t="s">
        <v>223</v>
      </c>
      <c r="H18" s="26" t="s">
        <v>224</v>
      </c>
      <c r="I18" s="26" t="s">
        <v>225</v>
      </c>
      <c r="J18" s="26" t="s">
        <v>226</v>
      </c>
      <c r="K18" s="26" t="s">
        <v>227</v>
      </c>
      <c r="L18" s="26" t="s">
        <v>228</v>
      </c>
      <c r="M18" s="26" t="s">
        <v>229</v>
      </c>
      <c r="N18" s="27" t="s">
        <v>214</v>
      </c>
      <c r="O18" s="56" t="s">
        <v>262</v>
      </c>
      <c r="P18" s="5"/>
      <c r="Q18" s="5"/>
      <c r="R18" s="5"/>
    </row>
    <row r="19" spans="1:388" ht="20.100000000000001" customHeight="1" thickBot="1" x14ac:dyDescent="0.3">
      <c r="A19" s="84" t="s">
        <v>234</v>
      </c>
      <c r="B19" s="162"/>
      <c r="C19" s="162"/>
      <c r="D19" s="162"/>
      <c r="E19" s="162"/>
      <c r="F19" s="162"/>
      <c r="G19" s="162"/>
      <c r="H19" s="162"/>
      <c r="I19" s="162"/>
      <c r="J19" s="162"/>
      <c r="K19" s="162"/>
      <c r="L19" s="162"/>
      <c r="M19" s="162"/>
      <c r="N19" s="104">
        <f>SUM(Cash_payments_VAT_table_2[[#This Row],[Period 1]:[Period 12]])</f>
        <v>0</v>
      </c>
      <c r="O19" s="56" t="s">
        <v>262</v>
      </c>
      <c r="P19" s="5"/>
      <c r="Q19" s="5"/>
      <c r="R19" s="5"/>
    </row>
    <row r="20" spans="1:388" ht="30" customHeight="1" x14ac:dyDescent="0.25">
      <c r="A20" s="81" t="s">
        <v>235</v>
      </c>
      <c r="B20" s="148">
        <f>B19*(1+(Value_added_tax_rate/100))</f>
        <v>0</v>
      </c>
      <c r="C20" s="148">
        <f t="shared" ref="C20:M20" si="3">C19*(1+(Value_added_tax_rate/100))</f>
        <v>0</v>
      </c>
      <c r="D20" s="148">
        <f t="shared" si="3"/>
        <v>0</v>
      </c>
      <c r="E20" s="148">
        <f t="shared" si="3"/>
        <v>0</v>
      </c>
      <c r="F20" s="148">
        <f t="shared" si="3"/>
        <v>0</v>
      </c>
      <c r="G20" s="148">
        <f t="shared" si="3"/>
        <v>0</v>
      </c>
      <c r="H20" s="148">
        <f t="shared" si="3"/>
        <v>0</v>
      </c>
      <c r="I20" s="148">
        <f t="shared" si="3"/>
        <v>0</v>
      </c>
      <c r="J20" s="148">
        <f t="shared" si="3"/>
        <v>0</v>
      </c>
      <c r="K20" s="148">
        <f t="shared" si="3"/>
        <v>0</v>
      </c>
      <c r="L20" s="148">
        <f t="shared" si="3"/>
        <v>0</v>
      </c>
      <c r="M20" s="148">
        <f t="shared" si="3"/>
        <v>0</v>
      </c>
      <c r="N20" s="148">
        <f>SUM(Cash_payments_VAT_table_2[[#This Row],[Period 1]:[Period 12]])</f>
        <v>0</v>
      </c>
      <c r="O20" s="56" t="s">
        <v>262</v>
      </c>
      <c r="P20" s="5"/>
      <c r="Q20" s="5"/>
      <c r="R20" s="5"/>
    </row>
    <row r="21" spans="1:388" ht="30" customHeight="1" x14ac:dyDescent="0.25">
      <c r="A21" s="82" t="s">
        <v>236</v>
      </c>
      <c r="B21" s="149">
        <f>('Cash flow calculation (Y1)'!M15-'Cash flow calculation (Y1)'!M14)-('Cash flow calculation (Y1)'!M20-'Cash flow calculation (Y1)'!M19)</f>
        <v>0</v>
      </c>
      <c r="C21" s="149">
        <f>('Cash flow calculation (Y1)'!N15-'Cash flow calculation (Y1)'!N14)-('Cash flow calculation (Y1)'!N20-'Cash flow calculation (Y1)'!N19)</f>
        <v>0</v>
      </c>
      <c r="D21" s="149">
        <f t="shared" ref="D21:M21" si="4">(B15-B14)-(B20-B19)</f>
        <v>0</v>
      </c>
      <c r="E21" s="149">
        <f t="shared" si="4"/>
        <v>0</v>
      </c>
      <c r="F21" s="149">
        <f t="shared" si="4"/>
        <v>0</v>
      </c>
      <c r="G21" s="149">
        <f t="shared" si="4"/>
        <v>0</v>
      </c>
      <c r="H21" s="149">
        <f t="shared" si="4"/>
        <v>0</v>
      </c>
      <c r="I21" s="149">
        <f t="shared" si="4"/>
        <v>0</v>
      </c>
      <c r="J21" s="149">
        <f t="shared" si="4"/>
        <v>0</v>
      </c>
      <c r="K21" s="149">
        <f t="shared" si="4"/>
        <v>0</v>
      </c>
      <c r="L21" s="149">
        <f t="shared" si="4"/>
        <v>0</v>
      </c>
      <c r="M21" s="149">
        <f t="shared" si="4"/>
        <v>0</v>
      </c>
      <c r="N21" s="149">
        <f>SUM(Cash_payments_VAT_table_2[[#This Row],[Period 1]:[Period 12]])</f>
        <v>0</v>
      </c>
      <c r="O21" s="56" t="s">
        <v>262</v>
      </c>
      <c r="P21" s="5"/>
      <c r="Q21" s="5"/>
      <c r="R21" s="5"/>
    </row>
    <row r="22" spans="1:388" ht="30" customHeight="1" x14ac:dyDescent="0.25">
      <c r="A22" s="17" t="s">
        <v>240</v>
      </c>
      <c r="B22" s="26" t="s">
        <v>218</v>
      </c>
      <c r="C22" s="26" t="s">
        <v>219</v>
      </c>
      <c r="D22" s="26" t="s">
        <v>220</v>
      </c>
      <c r="E22" s="26" t="s">
        <v>221</v>
      </c>
      <c r="F22" s="26" t="s">
        <v>222</v>
      </c>
      <c r="G22" s="26" t="s">
        <v>223</v>
      </c>
      <c r="H22" s="26" t="s">
        <v>224</v>
      </c>
      <c r="I22" s="26" t="s">
        <v>225</v>
      </c>
      <c r="J22" s="26" t="s">
        <v>226</v>
      </c>
      <c r="K22" s="26" t="s">
        <v>227</v>
      </c>
      <c r="L22" s="26" t="s">
        <v>228</v>
      </c>
      <c r="M22" s="26" t="s">
        <v>229</v>
      </c>
      <c r="N22" s="27" t="s">
        <v>214</v>
      </c>
      <c r="O22" s="56" t="s">
        <v>262</v>
      </c>
      <c r="P22" s="5"/>
      <c r="Q22" s="5"/>
      <c r="R22" s="5"/>
    </row>
    <row r="23" spans="1:388" ht="20.100000000000001" customHeight="1" x14ac:dyDescent="0.25">
      <c r="A23" s="18" t="s">
        <v>241</v>
      </c>
      <c r="B23" s="95"/>
      <c r="C23" s="95"/>
      <c r="D23" s="95"/>
      <c r="E23" s="95"/>
      <c r="F23" s="95"/>
      <c r="G23" s="95"/>
      <c r="H23" s="95"/>
      <c r="I23" s="95"/>
      <c r="J23" s="95"/>
      <c r="K23" s="95"/>
      <c r="L23" s="95"/>
      <c r="M23" s="95"/>
      <c r="N23" s="150">
        <f>SUM(Cash_payments_table_2[[#This Row],[Period 1]:[Period 12]])</f>
        <v>0</v>
      </c>
      <c r="O23" s="56" t="s">
        <v>262</v>
      </c>
      <c r="P23" s="5"/>
      <c r="Q23" s="5"/>
      <c r="R23" s="5"/>
    </row>
    <row r="24" spans="1:388" ht="20.100000000000001" customHeight="1" x14ac:dyDescent="0.25">
      <c r="A24" s="18" t="s">
        <v>242</v>
      </c>
      <c r="B24" s="95"/>
      <c r="C24" s="95"/>
      <c r="D24" s="95"/>
      <c r="E24" s="95"/>
      <c r="F24" s="95"/>
      <c r="G24" s="95"/>
      <c r="H24" s="95"/>
      <c r="I24" s="95"/>
      <c r="J24" s="95"/>
      <c r="K24" s="95"/>
      <c r="L24" s="95"/>
      <c r="M24" s="95"/>
      <c r="N24" s="150">
        <f>SUM(Cash_payments_table_2[[#This Row],[Period 1]:[Period 12]])</f>
        <v>0</v>
      </c>
      <c r="O24" s="56" t="s">
        <v>262</v>
      </c>
      <c r="P24" s="78"/>
      <c r="Q24" s="78"/>
      <c r="R24" s="78"/>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c r="BZ24" s="79"/>
      <c r="CA24" s="79"/>
      <c r="CB24" s="79"/>
      <c r="CC24" s="79"/>
      <c r="CD24" s="79"/>
      <c r="CE24" s="79"/>
      <c r="CF24" s="79"/>
      <c r="CG24" s="79"/>
      <c r="CH24" s="79"/>
      <c r="CI24" s="79"/>
      <c r="CJ24" s="79"/>
      <c r="CK24" s="79"/>
      <c r="CL24" s="79"/>
      <c r="CM24" s="79"/>
      <c r="CN24" s="79"/>
      <c r="CO24" s="79"/>
      <c r="CP24" s="79"/>
      <c r="CQ24" s="79"/>
      <c r="CR24" s="79"/>
      <c r="CS24" s="79"/>
      <c r="CT24" s="79"/>
      <c r="CU24" s="79"/>
      <c r="CV24" s="79"/>
      <c r="CW24" s="79"/>
      <c r="CX24" s="79"/>
      <c r="CY24" s="79"/>
      <c r="CZ24" s="79"/>
      <c r="DA24" s="79"/>
      <c r="DB24" s="79"/>
      <c r="DC24" s="79"/>
      <c r="DD24" s="79"/>
      <c r="DE24" s="79"/>
      <c r="DF24" s="79"/>
      <c r="DG24" s="79"/>
      <c r="DH24" s="79"/>
      <c r="DI24" s="79"/>
      <c r="DJ24" s="79"/>
      <c r="DK24" s="79"/>
      <c r="DL24" s="79"/>
      <c r="DM24" s="79"/>
      <c r="DN24" s="79"/>
      <c r="DO24" s="79"/>
      <c r="DP24" s="79"/>
      <c r="DQ24" s="79"/>
      <c r="DR24" s="79"/>
      <c r="DS24" s="79"/>
      <c r="DT24" s="79"/>
      <c r="DU24" s="79"/>
      <c r="DV24" s="79"/>
      <c r="DW24" s="79"/>
      <c r="DX24" s="79"/>
      <c r="DY24" s="79"/>
      <c r="DZ24" s="79"/>
      <c r="EA24" s="79"/>
      <c r="EB24" s="79"/>
      <c r="EC24" s="79"/>
      <c r="ED24" s="79"/>
      <c r="EE24" s="79"/>
      <c r="EF24" s="79"/>
      <c r="EG24" s="79"/>
      <c r="EH24" s="79"/>
      <c r="EI24" s="79"/>
      <c r="EJ24" s="79"/>
      <c r="EK24" s="79"/>
      <c r="EL24" s="79"/>
      <c r="EM24" s="79"/>
      <c r="EN24" s="79"/>
      <c r="EO24" s="79"/>
      <c r="EP24" s="79"/>
      <c r="EQ24" s="79"/>
      <c r="ER24" s="79"/>
      <c r="ES24" s="79"/>
      <c r="ET24" s="79"/>
      <c r="EU24" s="79"/>
      <c r="EV24" s="79"/>
      <c r="EW24" s="79"/>
      <c r="EX24" s="79"/>
      <c r="EY24" s="79"/>
      <c r="EZ24" s="79"/>
      <c r="FA24" s="79"/>
      <c r="FB24" s="79"/>
      <c r="FC24" s="79"/>
      <c r="FD24" s="79"/>
      <c r="FE24" s="79"/>
      <c r="FF24" s="79"/>
      <c r="FG24" s="79"/>
      <c r="FH24" s="79"/>
      <c r="FI24" s="79"/>
      <c r="FJ24" s="79"/>
      <c r="FK24" s="79"/>
      <c r="FL24" s="79"/>
      <c r="FM24" s="79"/>
      <c r="FN24" s="79"/>
      <c r="FO24" s="79"/>
      <c r="FP24" s="79"/>
      <c r="FQ24" s="79"/>
      <c r="FR24" s="79"/>
      <c r="FS24" s="79"/>
      <c r="FT24" s="79"/>
      <c r="FU24" s="79"/>
      <c r="FV24" s="79"/>
      <c r="FW24" s="79"/>
      <c r="FX24" s="79"/>
      <c r="FY24" s="79"/>
      <c r="FZ24" s="79"/>
      <c r="GA24" s="79"/>
      <c r="GB24" s="79"/>
      <c r="GC24" s="79"/>
      <c r="GD24" s="79"/>
      <c r="GE24" s="79"/>
      <c r="GF24" s="79"/>
      <c r="GG24" s="79"/>
      <c r="GH24" s="79"/>
      <c r="GI24" s="79"/>
      <c r="GJ24" s="79"/>
      <c r="GK24" s="79"/>
      <c r="GL24" s="79"/>
      <c r="GM24" s="79"/>
      <c r="GN24" s="79"/>
      <c r="GO24" s="79"/>
      <c r="GP24" s="79"/>
      <c r="GQ24" s="79"/>
      <c r="GR24" s="79"/>
      <c r="GS24" s="79"/>
      <c r="GT24" s="79"/>
      <c r="GU24" s="79"/>
      <c r="GV24" s="79"/>
      <c r="GW24" s="79"/>
      <c r="GX24" s="79"/>
      <c r="GY24" s="79"/>
      <c r="GZ24" s="79"/>
      <c r="HA24" s="79"/>
      <c r="HB24" s="79"/>
      <c r="HC24" s="79"/>
      <c r="HD24" s="79"/>
      <c r="HE24" s="79"/>
      <c r="HF24" s="79"/>
      <c r="HG24" s="79"/>
      <c r="HH24" s="79"/>
      <c r="HI24" s="79"/>
      <c r="HJ24" s="79"/>
      <c r="HK24" s="79"/>
      <c r="HL24" s="79"/>
      <c r="HM24" s="79"/>
      <c r="HN24" s="79"/>
      <c r="HO24" s="79"/>
      <c r="HP24" s="79"/>
      <c r="HQ24" s="79"/>
      <c r="HR24" s="79"/>
      <c r="HS24" s="79"/>
      <c r="HT24" s="79"/>
      <c r="HU24" s="79"/>
      <c r="HV24" s="79"/>
      <c r="HW24" s="79"/>
      <c r="HX24" s="79"/>
      <c r="HY24" s="79"/>
      <c r="HZ24" s="79"/>
      <c r="IA24" s="79"/>
      <c r="IB24" s="79"/>
      <c r="IC24" s="79"/>
      <c r="ID24" s="79"/>
      <c r="IE24" s="79"/>
      <c r="IF24" s="79"/>
      <c r="IG24" s="79"/>
      <c r="IH24" s="79"/>
      <c r="II24" s="79"/>
      <c r="IJ24" s="79"/>
      <c r="IK24" s="79"/>
      <c r="IL24" s="79"/>
      <c r="IM24" s="79"/>
      <c r="IN24" s="79"/>
      <c r="IO24" s="79"/>
      <c r="IP24" s="79"/>
      <c r="IQ24" s="79"/>
      <c r="IR24" s="79"/>
      <c r="IS24" s="79"/>
      <c r="IT24" s="79"/>
      <c r="IU24" s="79"/>
      <c r="IV24" s="79"/>
      <c r="IW24" s="79"/>
      <c r="IX24" s="79"/>
      <c r="IY24" s="79"/>
      <c r="IZ24" s="79"/>
      <c r="JA24" s="79"/>
      <c r="JB24" s="79"/>
      <c r="JC24" s="79"/>
      <c r="JD24" s="79"/>
      <c r="JE24" s="79"/>
      <c r="JF24" s="79"/>
      <c r="JG24" s="79"/>
      <c r="JH24" s="79"/>
      <c r="JI24" s="79"/>
      <c r="JJ24" s="79"/>
      <c r="JK24" s="79"/>
      <c r="JL24" s="79"/>
      <c r="JM24" s="79"/>
      <c r="JN24" s="79"/>
      <c r="JO24" s="79"/>
      <c r="JP24" s="79"/>
      <c r="JQ24" s="79"/>
      <c r="JR24" s="79"/>
      <c r="JS24" s="79"/>
      <c r="JT24" s="79"/>
      <c r="JU24" s="79"/>
      <c r="JV24" s="79"/>
      <c r="JW24" s="79"/>
      <c r="JX24" s="79"/>
      <c r="JY24" s="79"/>
      <c r="JZ24" s="79"/>
      <c r="KA24" s="79"/>
      <c r="KB24" s="79"/>
      <c r="KC24" s="79"/>
      <c r="KD24" s="79"/>
      <c r="KE24" s="79"/>
      <c r="KF24" s="79"/>
      <c r="KG24" s="79"/>
      <c r="KH24" s="79"/>
      <c r="KI24" s="79"/>
      <c r="KJ24" s="79"/>
      <c r="KK24" s="79"/>
      <c r="KL24" s="79"/>
      <c r="KM24" s="79"/>
      <c r="KN24" s="79"/>
      <c r="KO24" s="79"/>
      <c r="KP24" s="79"/>
      <c r="KQ24" s="79"/>
      <c r="KR24" s="79"/>
      <c r="KS24" s="79"/>
      <c r="KT24" s="79"/>
      <c r="KU24" s="79"/>
      <c r="KV24" s="79"/>
      <c r="KW24" s="79"/>
      <c r="KX24" s="79"/>
      <c r="KY24" s="79"/>
      <c r="KZ24" s="79"/>
      <c r="LA24" s="79"/>
      <c r="LB24" s="79"/>
      <c r="LC24" s="79"/>
      <c r="LD24" s="79"/>
      <c r="LE24" s="79"/>
      <c r="LF24" s="79"/>
      <c r="LG24" s="79"/>
      <c r="LH24" s="79"/>
      <c r="LI24" s="79"/>
      <c r="LJ24" s="79"/>
      <c r="LK24" s="79"/>
      <c r="LL24" s="79"/>
      <c r="LM24" s="79"/>
      <c r="LN24" s="79"/>
      <c r="LO24" s="79"/>
      <c r="LP24" s="79"/>
      <c r="LQ24" s="79"/>
      <c r="LR24" s="79"/>
      <c r="LS24" s="79"/>
      <c r="LT24" s="79"/>
      <c r="LU24" s="79"/>
      <c r="LV24" s="79"/>
      <c r="LW24" s="79"/>
      <c r="LX24" s="79"/>
      <c r="LY24" s="79"/>
      <c r="LZ24" s="79"/>
      <c r="MA24" s="79"/>
      <c r="MB24" s="79"/>
      <c r="MC24" s="79"/>
      <c r="MD24" s="79"/>
      <c r="ME24" s="79"/>
      <c r="MF24" s="79"/>
      <c r="MG24" s="79"/>
      <c r="MH24" s="79"/>
      <c r="MI24" s="79"/>
      <c r="MJ24" s="79"/>
      <c r="MK24" s="79"/>
      <c r="ML24" s="79"/>
      <c r="MM24" s="79"/>
      <c r="MN24" s="79"/>
      <c r="MO24" s="79"/>
      <c r="MP24" s="79"/>
      <c r="MQ24" s="79"/>
      <c r="MR24" s="79"/>
      <c r="MS24" s="79"/>
      <c r="MT24" s="79"/>
      <c r="MU24" s="79"/>
      <c r="MV24" s="79"/>
      <c r="MW24" s="79"/>
      <c r="MX24" s="79"/>
      <c r="MY24" s="79"/>
      <c r="MZ24" s="79"/>
      <c r="NA24" s="79"/>
      <c r="NB24" s="79"/>
      <c r="NC24" s="79"/>
      <c r="ND24" s="79"/>
      <c r="NE24" s="79"/>
      <c r="NF24" s="79"/>
      <c r="NG24" s="79"/>
      <c r="NH24" s="79"/>
      <c r="NI24" s="79"/>
      <c r="NJ24" s="79"/>
      <c r="NK24" s="79"/>
      <c r="NL24" s="79"/>
      <c r="NM24" s="79"/>
      <c r="NN24" s="79"/>
      <c r="NO24" s="79"/>
      <c r="NP24" s="79"/>
      <c r="NQ24" s="79"/>
      <c r="NR24" s="79"/>
      <c r="NS24" s="79"/>
      <c r="NT24" s="79"/>
      <c r="NU24" s="79"/>
      <c r="NV24" s="79"/>
      <c r="NW24" s="79"/>
      <c r="NX24" s="79"/>
    </row>
    <row r="25" spans="1:388" ht="20.100000000000001" customHeight="1" x14ac:dyDescent="0.25">
      <c r="A25" s="40" t="s">
        <v>5</v>
      </c>
      <c r="B25" s="151"/>
      <c r="C25" s="151"/>
      <c r="D25" s="151"/>
      <c r="E25" s="151"/>
      <c r="F25" s="151"/>
      <c r="G25" s="151"/>
      <c r="H25" s="151"/>
      <c r="I25" s="151"/>
      <c r="J25" s="151"/>
      <c r="K25" s="151"/>
      <c r="L25" s="151"/>
      <c r="M25" s="151"/>
      <c r="N25" s="152">
        <f>SUM(Cash_payments_table_2[[#This Row],[Period 1]:[Period 12]])</f>
        <v>0</v>
      </c>
      <c r="O25" s="56" t="s">
        <v>262</v>
      </c>
      <c r="P25" s="78"/>
      <c r="Q25" s="78"/>
      <c r="R25" s="78"/>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c r="BA25" s="79"/>
      <c r="BB25" s="79"/>
      <c r="BC25" s="79"/>
      <c r="BD25" s="79"/>
      <c r="BE25" s="79"/>
      <c r="BF25" s="79"/>
      <c r="BG25" s="79"/>
      <c r="BH25" s="79"/>
      <c r="BI25" s="79"/>
      <c r="BJ25" s="79"/>
      <c r="BK25" s="79"/>
      <c r="BL25" s="79"/>
      <c r="BM25" s="79"/>
      <c r="BN25" s="79"/>
      <c r="BO25" s="79"/>
      <c r="BP25" s="79"/>
      <c r="BQ25" s="79"/>
      <c r="BR25" s="79"/>
      <c r="BS25" s="79"/>
      <c r="BT25" s="79"/>
      <c r="BU25" s="79"/>
      <c r="BV25" s="79"/>
      <c r="BW25" s="79"/>
      <c r="BX25" s="79"/>
      <c r="BY25" s="79"/>
      <c r="BZ25" s="79"/>
      <c r="CA25" s="79"/>
      <c r="CB25" s="79"/>
      <c r="CC25" s="79"/>
      <c r="CD25" s="79"/>
      <c r="CE25" s="79"/>
      <c r="CF25" s="79"/>
      <c r="CG25" s="79"/>
      <c r="CH25" s="79"/>
      <c r="CI25" s="79"/>
      <c r="CJ25" s="79"/>
      <c r="CK25" s="79"/>
      <c r="CL25" s="79"/>
      <c r="CM25" s="79"/>
      <c r="CN25" s="79"/>
      <c r="CO25" s="79"/>
      <c r="CP25" s="79"/>
      <c r="CQ25" s="79"/>
      <c r="CR25" s="79"/>
      <c r="CS25" s="79"/>
      <c r="CT25" s="79"/>
      <c r="CU25" s="79"/>
      <c r="CV25" s="79"/>
      <c r="CW25" s="79"/>
      <c r="CX25" s="79"/>
      <c r="CY25" s="79"/>
      <c r="CZ25" s="79"/>
      <c r="DA25" s="79"/>
      <c r="DB25" s="79"/>
      <c r="DC25" s="79"/>
      <c r="DD25" s="79"/>
      <c r="DE25" s="79"/>
      <c r="DF25" s="79"/>
      <c r="DG25" s="79"/>
      <c r="DH25" s="79"/>
      <c r="DI25" s="79"/>
      <c r="DJ25" s="79"/>
      <c r="DK25" s="79"/>
      <c r="DL25" s="79"/>
      <c r="DM25" s="79"/>
      <c r="DN25" s="79"/>
      <c r="DO25" s="79"/>
      <c r="DP25" s="79"/>
      <c r="DQ25" s="79"/>
      <c r="DR25" s="79"/>
      <c r="DS25" s="79"/>
      <c r="DT25" s="79"/>
      <c r="DU25" s="79"/>
      <c r="DV25" s="79"/>
      <c r="DW25" s="79"/>
      <c r="DX25" s="79"/>
      <c r="DY25" s="79"/>
      <c r="DZ25" s="79"/>
      <c r="EA25" s="79"/>
      <c r="EB25" s="79"/>
      <c r="EC25" s="79"/>
      <c r="ED25" s="79"/>
      <c r="EE25" s="79"/>
      <c r="EF25" s="79"/>
      <c r="EG25" s="79"/>
      <c r="EH25" s="79"/>
      <c r="EI25" s="79"/>
      <c r="EJ25" s="79"/>
      <c r="EK25" s="79"/>
      <c r="EL25" s="79"/>
      <c r="EM25" s="79"/>
      <c r="EN25" s="79"/>
      <c r="EO25" s="79"/>
      <c r="EP25" s="79"/>
      <c r="EQ25" s="79"/>
      <c r="ER25" s="79"/>
      <c r="ES25" s="79"/>
      <c r="ET25" s="79"/>
      <c r="EU25" s="79"/>
      <c r="EV25" s="79"/>
      <c r="EW25" s="79"/>
      <c r="EX25" s="79"/>
      <c r="EY25" s="79"/>
      <c r="EZ25" s="79"/>
      <c r="FA25" s="79"/>
      <c r="FB25" s="79"/>
      <c r="FC25" s="79"/>
      <c r="FD25" s="79"/>
      <c r="FE25" s="79"/>
      <c r="FF25" s="79"/>
      <c r="FG25" s="79"/>
      <c r="FH25" s="79"/>
      <c r="FI25" s="79"/>
      <c r="FJ25" s="79"/>
      <c r="FK25" s="79"/>
      <c r="FL25" s="79"/>
      <c r="FM25" s="79"/>
      <c r="FN25" s="79"/>
      <c r="FO25" s="79"/>
      <c r="FP25" s="79"/>
      <c r="FQ25" s="79"/>
      <c r="FR25" s="79"/>
      <c r="FS25" s="79"/>
      <c r="FT25" s="79"/>
      <c r="FU25" s="79"/>
      <c r="FV25" s="79"/>
      <c r="FW25" s="79"/>
      <c r="FX25" s="79"/>
      <c r="FY25" s="79"/>
      <c r="FZ25" s="79"/>
      <c r="GA25" s="79"/>
      <c r="GB25" s="79"/>
      <c r="GC25" s="79"/>
      <c r="GD25" s="79"/>
      <c r="GE25" s="79"/>
      <c r="GF25" s="79"/>
      <c r="GG25" s="79"/>
      <c r="GH25" s="79"/>
      <c r="GI25" s="79"/>
      <c r="GJ25" s="79"/>
      <c r="GK25" s="79"/>
      <c r="GL25" s="79"/>
      <c r="GM25" s="79"/>
      <c r="GN25" s="79"/>
      <c r="GO25" s="79"/>
      <c r="GP25" s="79"/>
      <c r="GQ25" s="79"/>
      <c r="GR25" s="79"/>
      <c r="GS25" s="79"/>
      <c r="GT25" s="79"/>
      <c r="GU25" s="79"/>
      <c r="GV25" s="79"/>
      <c r="GW25" s="79"/>
      <c r="GX25" s="79"/>
      <c r="GY25" s="79"/>
      <c r="GZ25" s="79"/>
      <c r="HA25" s="79"/>
      <c r="HB25" s="79"/>
      <c r="HC25" s="79"/>
      <c r="HD25" s="79"/>
      <c r="HE25" s="79"/>
      <c r="HF25" s="79"/>
      <c r="HG25" s="79"/>
      <c r="HH25" s="79"/>
      <c r="HI25" s="79"/>
      <c r="HJ25" s="79"/>
      <c r="HK25" s="79"/>
      <c r="HL25" s="79"/>
      <c r="HM25" s="79"/>
      <c r="HN25" s="79"/>
      <c r="HO25" s="79"/>
      <c r="HP25" s="79"/>
      <c r="HQ25" s="79"/>
      <c r="HR25" s="79"/>
      <c r="HS25" s="79"/>
      <c r="HT25" s="79"/>
      <c r="HU25" s="79"/>
      <c r="HV25" s="79"/>
      <c r="HW25" s="79"/>
      <c r="HX25" s="79"/>
      <c r="HY25" s="79"/>
      <c r="HZ25" s="79"/>
      <c r="IA25" s="79"/>
      <c r="IB25" s="79"/>
      <c r="IC25" s="79"/>
      <c r="ID25" s="79"/>
      <c r="IE25" s="79"/>
      <c r="IF25" s="79"/>
      <c r="IG25" s="79"/>
      <c r="IH25" s="79"/>
      <c r="II25" s="79"/>
      <c r="IJ25" s="79"/>
      <c r="IK25" s="79"/>
      <c r="IL25" s="79"/>
      <c r="IM25" s="79"/>
      <c r="IN25" s="79"/>
      <c r="IO25" s="79"/>
      <c r="IP25" s="79"/>
      <c r="IQ25" s="79"/>
      <c r="IR25" s="79"/>
      <c r="IS25" s="79"/>
      <c r="IT25" s="79"/>
      <c r="IU25" s="79"/>
      <c r="IV25" s="79"/>
      <c r="IW25" s="79"/>
      <c r="IX25" s="79"/>
      <c r="IY25" s="79"/>
      <c r="IZ25" s="79"/>
      <c r="JA25" s="79"/>
      <c r="JB25" s="79"/>
      <c r="JC25" s="79"/>
      <c r="JD25" s="79"/>
      <c r="JE25" s="79"/>
      <c r="JF25" s="79"/>
      <c r="JG25" s="79"/>
      <c r="JH25" s="79"/>
      <c r="JI25" s="79"/>
      <c r="JJ25" s="79"/>
      <c r="JK25" s="79"/>
      <c r="JL25" s="79"/>
      <c r="JM25" s="79"/>
      <c r="JN25" s="79"/>
      <c r="JO25" s="79"/>
      <c r="JP25" s="79"/>
      <c r="JQ25" s="79"/>
      <c r="JR25" s="79"/>
      <c r="JS25" s="79"/>
      <c r="JT25" s="79"/>
      <c r="JU25" s="79"/>
      <c r="JV25" s="79"/>
      <c r="JW25" s="79"/>
      <c r="JX25" s="79"/>
      <c r="JY25" s="79"/>
      <c r="JZ25" s="79"/>
      <c r="KA25" s="79"/>
      <c r="KB25" s="79"/>
      <c r="KC25" s="79"/>
      <c r="KD25" s="79"/>
      <c r="KE25" s="79"/>
      <c r="KF25" s="79"/>
      <c r="KG25" s="79"/>
      <c r="KH25" s="79"/>
      <c r="KI25" s="79"/>
      <c r="KJ25" s="79"/>
      <c r="KK25" s="79"/>
      <c r="KL25" s="79"/>
      <c r="KM25" s="79"/>
      <c r="KN25" s="79"/>
      <c r="KO25" s="79"/>
      <c r="KP25" s="79"/>
      <c r="KQ25" s="79"/>
      <c r="KR25" s="79"/>
      <c r="KS25" s="79"/>
      <c r="KT25" s="79"/>
      <c r="KU25" s="79"/>
      <c r="KV25" s="79"/>
      <c r="KW25" s="79"/>
      <c r="KX25" s="79"/>
      <c r="KY25" s="79"/>
      <c r="KZ25" s="79"/>
      <c r="LA25" s="79"/>
      <c r="LB25" s="79"/>
      <c r="LC25" s="79"/>
      <c r="LD25" s="79"/>
      <c r="LE25" s="79"/>
      <c r="LF25" s="79"/>
      <c r="LG25" s="79"/>
      <c r="LH25" s="79"/>
      <c r="LI25" s="79"/>
      <c r="LJ25" s="79"/>
      <c r="LK25" s="79"/>
      <c r="LL25" s="79"/>
      <c r="LM25" s="79"/>
      <c r="LN25" s="79"/>
      <c r="LO25" s="79"/>
      <c r="LP25" s="79"/>
      <c r="LQ25" s="79"/>
      <c r="LR25" s="79"/>
      <c r="LS25" s="79"/>
      <c r="LT25" s="79"/>
      <c r="LU25" s="79"/>
      <c r="LV25" s="79"/>
      <c r="LW25" s="79"/>
      <c r="LX25" s="79"/>
      <c r="LY25" s="79"/>
      <c r="LZ25" s="79"/>
      <c r="MA25" s="79"/>
      <c r="MB25" s="79"/>
      <c r="MC25" s="79"/>
      <c r="MD25" s="79"/>
      <c r="ME25" s="79"/>
      <c r="MF25" s="79"/>
      <c r="MG25" s="79"/>
      <c r="MH25" s="79"/>
      <c r="MI25" s="79"/>
      <c r="MJ25" s="79"/>
      <c r="MK25" s="79"/>
      <c r="ML25" s="79"/>
      <c r="MM25" s="79"/>
      <c r="MN25" s="79"/>
      <c r="MO25" s="79"/>
      <c r="MP25" s="79"/>
      <c r="MQ25" s="79"/>
      <c r="MR25" s="79"/>
      <c r="MS25" s="79"/>
      <c r="MT25" s="79"/>
      <c r="MU25" s="79"/>
      <c r="MV25" s="79"/>
      <c r="MW25" s="79"/>
      <c r="MX25" s="79"/>
      <c r="MY25" s="79"/>
      <c r="MZ25" s="79"/>
      <c r="NA25" s="79"/>
      <c r="NB25" s="79"/>
      <c r="NC25" s="79"/>
      <c r="ND25" s="79"/>
      <c r="NE25" s="79"/>
      <c r="NF25" s="79"/>
      <c r="NG25" s="79"/>
      <c r="NH25" s="79"/>
      <c r="NI25" s="79"/>
      <c r="NJ25" s="79"/>
      <c r="NK25" s="79"/>
      <c r="NL25" s="79"/>
      <c r="NM25" s="79"/>
      <c r="NN25" s="79"/>
      <c r="NO25" s="79"/>
      <c r="NP25" s="79"/>
      <c r="NQ25" s="79"/>
      <c r="NR25" s="79"/>
      <c r="NS25" s="79"/>
      <c r="NT25" s="79"/>
      <c r="NU25" s="79"/>
      <c r="NV25" s="79"/>
      <c r="NW25" s="79"/>
      <c r="NX25" s="79"/>
    </row>
    <row r="26" spans="1:388" ht="20.100000000000001" customHeight="1" x14ac:dyDescent="0.25">
      <c r="A26" s="41" t="s">
        <v>243</v>
      </c>
      <c r="B26" s="153"/>
      <c r="C26" s="153"/>
      <c r="D26" s="153"/>
      <c r="E26" s="153"/>
      <c r="F26" s="153"/>
      <c r="G26" s="153"/>
      <c r="H26" s="153"/>
      <c r="I26" s="153"/>
      <c r="J26" s="153"/>
      <c r="K26" s="153"/>
      <c r="L26" s="153"/>
      <c r="M26" s="153"/>
      <c r="N26" s="154">
        <f>SUM(Cash_payments_table_2[[#This Row],[Period 1]:[Period 12]])</f>
        <v>0</v>
      </c>
      <c r="O26" s="56" t="s">
        <v>262</v>
      </c>
      <c r="P26" s="5"/>
      <c r="Q26" s="5"/>
      <c r="R26" s="5"/>
    </row>
    <row r="27" spans="1:388" ht="20.100000000000001" customHeight="1" x14ac:dyDescent="0.25">
      <c r="A27" s="18" t="s">
        <v>125</v>
      </c>
      <c r="B27" s="95"/>
      <c r="C27" s="95"/>
      <c r="D27" s="95"/>
      <c r="E27" s="95"/>
      <c r="F27" s="95"/>
      <c r="G27" s="95"/>
      <c r="H27" s="95"/>
      <c r="I27" s="95"/>
      <c r="J27" s="95"/>
      <c r="K27" s="95"/>
      <c r="L27" s="95"/>
      <c r="M27" s="95"/>
      <c r="N27" s="150">
        <f>SUM(Cash_payments_table_2[[#This Row],[Period 1]:[Period 12]])</f>
        <v>0</v>
      </c>
      <c r="O27" s="56" t="s">
        <v>262</v>
      </c>
      <c r="P27" s="5"/>
      <c r="Q27" s="5"/>
      <c r="R27" s="5"/>
    </row>
    <row r="28" spans="1:388" ht="20.100000000000001" customHeight="1" x14ac:dyDescent="0.25">
      <c r="A28" s="40" t="s">
        <v>244</v>
      </c>
      <c r="B28" s="151"/>
      <c r="C28" s="151"/>
      <c r="D28" s="151"/>
      <c r="E28" s="151"/>
      <c r="F28" s="151"/>
      <c r="G28" s="151"/>
      <c r="H28" s="151"/>
      <c r="I28" s="151"/>
      <c r="J28" s="151"/>
      <c r="K28" s="151"/>
      <c r="L28" s="151"/>
      <c r="M28" s="151"/>
      <c r="N28" s="152">
        <f>SUM(Cash_payments_table_2[[#This Row],[Period 1]:[Period 12]])</f>
        <v>0</v>
      </c>
      <c r="O28" s="56" t="s">
        <v>262</v>
      </c>
      <c r="P28" s="5"/>
      <c r="Q28" s="5"/>
      <c r="R28" s="5"/>
    </row>
    <row r="29" spans="1:388" ht="20.100000000000001" customHeight="1" x14ac:dyDescent="0.25">
      <c r="A29" s="41" t="s">
        <v>129</v>
      </c>
      <c r="B29" s="153"/>
      <c r="C29" s="153"/>
      <c r="D29" s="153"/>
      <c r="E29" s="153"/>
      <c r="F29" s="153"/>
      <c r="G29" s="153"/>
      <c r="H29" s="153"/>
      <c r="I29" s="153"/>
      <c r="J29" s="153"/>
      <c r="K29" s="153"/>
      <c r="L29" s="153"/>
      <c r="M29" s="153"/>
      <c r="N29" s="154">
        <f>SUM(Cash_payments_table_2[[#This Row],[Period 1]:[Period 12]])</f>
        <v>0</v>
      </c>
      <c r="O29" s="56" t="s">
        <v>262</v>
      </c>
      <c r="P29" s="5"/>
      <c r="Q29" s="5"/>
      <c r="R29" s="5"/>
    </row>
    <row r="30" spans="1:388" ht="20.100000000000001" customHeight="1" x14ac:dyDescent="0.25">
      <c r="A30" s="18" t="s">
        <v>245</v>
      </c>
      <c r="B30" s="95"/>
      <c r="C30" s="95"/>
      <c r="D30" s="95"/>
      <c r="E30" s="95"/>
      <c r="F30" s="95"/>
      <c r="G30" s="95"/>
      <c r="H30" s="95"/>
      <c r="I30" s="95"/>
      <c r="J30" s="95"/>
      <c r="K30" s="95"/>
      <c r="L30" s="95"/>
      <c r="M30" s="95"/>
      <c r="N30" s="150">
        <f>SUM(Cash_payments_table_2[[#This Row],[Period 1]:[Period 12]])</f>
        <v>0</v>
      </c>
      <c r="O30" s="56" t="s">
        <v>262</v>
      </c>
      <c r="P30" s="5"/>
      <c r="Q30" s="5"/>
      <c r="R30" s="5"/>
    </row>
    <row r="31" spans="1:388" ht="20.100000000000001" customHeight="1" thickBot="1" x14ac:dyDescent="0.3">
      <c r="A31" s="18" t="s">
        <v>246</v>
      </c>
      <c r="B31" s="95"/>
      <c r="C31" s="95"/>
      <c r="D31" s="95"/>
      <c r="E31" s="95"/>
      <c r="F31" s="95"/>
      <c r="G31" s="95"/>
      <c r="H31" s="95"/>
      <c r="I31" s="95"/>
      <c r="J31" s="95"/>
      <c r="K31" s="95"/>
      <c r="L31" s="95"/>
      <c r="M31" s="95"/>
      <c r="N31" s="150">
        <f>SUM(Cash_payments_table_2[[#This Row],[Period 1]:[Period 12]])</f>
        <v>0</v>
      </c>
      <c r="O31" s="56" t="s">
        <v>262</v>
      </c>
      <c r="P31" s="5"/>
      <c r="Q31" s="5"/>
      <c r="R31" s="5"/>
    </row>
    <row r="32" spans="1:388" ht="30" customHeight="1" x14ac:dyDescent="0.25">
      <c r="A32" s="83" t="s">
        <v>247</v>
      </c>
      <c r="B32" s="155">
        <f>SUM(Cash_payments_table_2[Period 1],B19,B21)</f>
        <v>0</v>
      </c>
      <c r="C32" s="155">
        <f>SUM(Cash_payments_table_2[Period 2],C19,C21)</f>
        <v>0</v>
      </c>
      <c r="D32" s="155">
        <f>SUM(Cash_payments_table_2[Period 3],D19,D21)</f>
        <v>0</v>
      </c>
      <c r="E32" s="155">
        <f>SUM(Cash_payments_table_2[Period 4],E19,E21)</f>
        <v>0</v>
      </c>
      <c r="F32" s="155">
        <f>SUM(Cash_payments_table_2[Period 5],F19,F21)</f>
        <v>0</v>
      </c>
      <c r="G32" s="155">
        <f>SUM(Cash_payments_table_2[Period 6],G19,G21)</f>
        <v>0</v>
      </c>
      <c r="H32" s="155">
        <f>SUM(Cash_payments_table_2[Period 7],H19,H21)</f>
        <v>0</v>
      </c>
      <c r="I32" s="155">
        <f>SUM(Cash_payments_table_2[Period 8],I19,I21)</f>
        <v>0</v>
      </c>
      <c r="J32" s="155">
        <f>SUM(Cash_payments_table_2[Period 9],J19,J21)</f>
        <v>0</v>
      </c>
      <c r="K32" s="155">
        <f>SUM(Cash_payments_table_2[Period 10],K19,K21)</f>
        <v>0</v>
      </c>
      <c r="L32" s="155">
        <f>SUM(Cash_payments_table_2[Period 11],L19,L21)</f>
        <v>0</v>
      </c>
      <c r="M32" s="155">
        <f>SUM(Cash_payments_table_2[Period 12],M19,M21)</f>
        <v>0</v>
      </c>
      <c r="N32" s="155">
        <f>SUM(Cash_payments_table_2[[#Totals],[Period 1]:[Period 12]])</f>
        <v>0</v>
      </c>
      <c r="O32" s="56" t="s">
        <v>262</v>
      </c>
      <c r="P32" s="5"/>
      <c r="Q32" s="5"/>
      <c r="R32" s="5"/>
    </row>
    <row r="33" spans="1:18" ht="30" customHeight="1" x14ac:dyDescent="0.25">
      <c r="A33" s="17" t="s">
        <v>248</v>
      </c>
      <c r="B33" s="26" t="s">
        <v>218</v>
      </c>
      <c r="C33" s="26" t="s">
        <v>219</v>
      </c>
      <c r="D33" s="26" t="s">
        <v>220</v>
      </c>
      <c r="E33" s="26" t="s">
        <v>221</v>
      </c>
      <c r="F33" s="26" t="s">
        <v>222</v>
      </c>
      <c r="G33" s="26" t="s">
        <v>223</v>
      </c>
      <c r="H33" s="26" t="s">
        <v>224</v>
      </c>
      <c r="I33" s="26" t="s">
        <v>225</v>
      </c>
      <c r="J33" s="26" t="s">
        <v>226</v>
      </c>
      <c r="K33" s="26" t="s">
        <v>227</v>
      </c>
      <c r="L33" s="26" t="s">
        <v>228</v>
      </c>
      <c r="M33" s="26" t="s">
        <v>229</v>
      </c>
      <c r="N33" s="27" t="s">
        <v>214</v>
      </c>
      <c r="O33" s="56" t="s">
        <v>262</v>
      </c>
      <c r="P33" s="5"/>
      <c r="Q33" s="5"/>
      <c r="R33" s="5"/>
    </row>
    <row r="34" spans="1:18" ht="20.100000000000001" customHeight="1" x14ac:dyDescent="0.25">
      <c r="A34" s="18" t="s">
        <v>249</v>
      </c>
      <c r="B34" s="95"/>
      <c r="C34" s="95"/>
      <c r="D34" s="95"/>
      <c r="E34" s="95"/>
      <c r="F34" s="95"/>
      <c r="G34" s="95"/>
      <c r="H34" s="95"/>
      <c r="I34" s="95"/>
      <c r="J34" s="95"/>
      <c r="K34" s="95"/>
      <c r="L34" s="95"/>
      <c r="M34" s="156"/>
      <c r="N34" s="150">
        <f>SUM(Financing_table_2[[#This Row],[Period 1]:[Period 12]])</f>
        <v>0</v>
      </c>
      <c r="O34" s="56" t="s">
        <v>262</v>
      </c>
      <c r="P34" s="5"/>
      <c r="Q34" s="5"/>
      <c r="R34" s="5"/>
    </row>
    <row r="35" spans="1:18" ht="20.100000000000001" customHeight="1" x14ac:dyDescent="0.25">
      <c r="A35" s="18" t="s">
        <v>250</v>
      </c>
      <c r="B35" s="95"/>
      <c r="C35" s="95"/>
      <c r="D35" s="95"/>
      <c r="E35" s="95"/>
      <c r="F35" s="95"/>
      <c r="G35" s="95"/>
      <c r="H35" s="95"/>
      <c r="I35" s="95"/>
      <c r="J35" s="95"/>
      <c r="K35" s="95"/>
      <c r="L35" s="95"/>
      <c r="M35" s="95"/>
      <c r="N35" s="150">
        <f>SUM(Financing_table_2[[#This Row],[Period 1]:[Period 12]])</f>
        <v>0</v>
      </c>
      <c r="O35" s="56" t="s">
        <v>262</v>
      </c>
      <c r="P35" s="5"/>
      <c r="Q35" s="5"/>
      <c r="R35" s="5"/>
    </row>
    <row r="36" spans="1:18" ht="20.100000000000001" customHeight="1" x14ac:dyDescent="0.25">
      <c r="A36" s="40" t="s">
        <v>251</v>
      </c>
      <c r="B36" s="151"/>
      <c r="C36" s="151"/>
      <c r="D36" s="151"/>
      <c r="E36" s="151"/>
      <c r="F36" s="151"/>
      <c r="G36" s="151"/>
      <c r="H36" s="151"/>
      <c r="I36" s="151"/>
      <c r="J36" s="151"/>
      <c r="K36" s="151"/>
      <c r="L36" s="151"/>
      <c r="M36" s="151"/>
      <c r="N36" s="152">
        <f>SUM(Financing_table_2[[#This Row],[Period 1]:[Period 12]])</f>
        <v>0</v>
      </c>
      <c r="O36" s="56" t="s">
        <v>262</v>
      </c>
      <c r="P36" s="5"/>
      <c r="Q36" s="5"/>
      <c r="R36" s="5"/>
    </row>
    <row r="37" spans="1:18" ht="20.100000000000001" customHeight="1" x14ac:dyDescent="0.25">
      <c r="A37" s="41" t="s">
        <v>252</v>
      </c>
      <c r="B37" s="153"/>
      <c r="C37" s="153"/>
      <c r="D37" s="153"/>
      <c r="E37" s="153"/>
      <c r="F37" s="153"/>
      <c r="G37" s="153"/>
      <c r="H37" s="153"/>
      <c r="I37" s="153"/>
      <c r="J37" s="153"/>
      <c r="K37" s="153"/>
      <c r="L37" s="153"/>
      <c r="M37" s="153"/>
      <c r="N37" s="154">
        <f>SUM(Financing_table_2[[#This Row],[Period 1]:[Period 12]])</f>
        <v>0</v>
      </c>
      <c r="O37" s="56" t="s">
        <v>262</v>
      </c>
      <c r="P37" s="5"/>
      <c r="Q37" s="5"/>
      <c r="R37" s="5"/>
    </row>
    <row r="38" spans="1:18" ht="20.100000000000001" customHeight="1" x14ac:dyDescent="0.25">
      <c r="A38" s="18" t="s">
        <v>253</v>
      </c>
      <c r="B38" s="95"/>
      <c r="C38" s="95"/>
      <c r="D38" s="95"/>
      <c r="E38" s="95"/>
      <c r="F38" s="95"/>
      <c r="G38" s="95"/>
      <c r="H38" s="95"/>
      <c r="I38" s="95"/>
      <c r="J38" s="95"/>
      <c r="K38" s="95"/>
      <c r="L38" s="95"/>
      <c r="M38" s="95"/>
      <c r="N38" s="150">
        <f>SUM(Financing_table_2[[#This Row],[Period 1]:[Period 12]])</f>
        <v>0</v>
      </c>
      <c r="O38" s="56" t="s">
        <v>262</v>
      </c>
      <c r="P38" s="5"/>
      <c r="Q38" s="5"/>
      <c r="R38" s="5"/>
    </row>
    <row r="39" spans="1:18" ht="20.100000000000001" customHeight="1" thickBot="1" x14ac:dyDescent="0.3">
      <c r="A39" s="40" t="s">
        <v>254</v>
      </c>
      <c r="B39" s="151"/>
      <c r="C39" s="151"/>
      <c r="D39" s="151"/>
      <c r="E39" s="151"/>
      <c r="F39" s="151"/>
      <c r="G39" s="151"/>
      <c r="H39" s="151"/>
      <c r="I39" s="151"/>
      <c r="J39" s="151"/>
      <c r="K39" s="151"/>
      <c r="L39" s="151"/>
      <c r="M39" s="151"/>
      <c r="N39" s="152">
        <f>SUM(Financing_table_2[[#This Row],[Period 1]:[Period 12]])</f>
        <v>0</v>
      </c>
      <c r="O39" s="56" t="s">
        <v>262</v>
      </c>
      <c r="P39" s="5"/>
      <c r="Q39" s="5"/>
      <c r="R39" s="5"/>
    </row>
    <row r="40" spans="1:18" ht="30" customHeight="1" x14ac:dyDescent="0.25">
      <c r="A40" s="165" t="s">
        <v>255</v>
      </c>
      <c r="B40" s="166">
        <f t="shared" ref="B40:M40" si="5">SUM(-B34,B35:B36,-B37,B38:B39)</f>
        <v>0</v>
      </c>
      <c r="C40" s="166">
        <f t="shared" si="5"/>
        <v>0</v>
      </c>
      <c r="D40" s="166">
        <f t="shared" si="5"/>
        <v>0</v>
      </c>
      <c r="E40" s="166">
        <f t="shared" si="5"/>
        <v>0</v>
      </c>
      <c r="F40" s="166">
        <f t="shared" si="5"/>
        <v>0</v>
      </c>
      <c r="G40" s="166">
        <f t="shared" si="5"/>
        <v>0</v>
      </c>
      <c r="H40" s="166">
        <f t="shared" si="5"/>
        <v>0</v>
      </c>
      <c r="I40" s="166">
        <f t="shared" si="5"/>
        <v>0</v>
      </c>
      <c r="J40" s="166">
        <f t="shared" si="5"/>
        <v>0</v>
      </c>
      <c r="K40" s="166">
        <f t="shared" si="5"/>
        <v>0</v>
      </c>
      <c r="L40" s="166">
        <f t="shared" si="5"/>
        <v>0</v>
      </c>
      <c r="M40" s="166">
        <f t="shared" si="5"/>
        <v>0</v>
      </c>
      <c r="N40" s="166">
        <f>SUM(Financing_table_2[[#Totals],[Period 1]:[Period 12]])</f>
        <v>0</v>
      </c>
      <c r="O40" s="56" t="s">
        <v>262</v>
      </c>
      <c r="P40" s="5"/>
      <c r="Q40" s="5"/>
      <c r="R40" s="5"/>
    </row>
    <row r="41" spans="1:18" ht="30" customHeight="1" x14ac:dyDescent="0.25">
      <c r="A41" s="167" t="s">
        <v>256</v>
      </c>
      <c r="B41" s="168" t="s">
        <v>218</v>
      </c>
      <c r="C41" s="168" t="s">
        <v>219</v>
      </c>
      <c r="D41" s="168" t="s">
        <v>220</v>
      </c>
      <c r="E41" s="168" t="s">
        <v>221</v>
      </c>
      <c r="F41" s="168" t="s">
        <v>222</v>
      </c>
      <c r="G41" s="168" t="s">
        <v>223</v>
      </c>
      <c r="H41" s="168" t="s">
        <v>224</v>
      </c>
      <c r="I41" s="168" t="s">
        <v>225</v>
      </c>
      <c r="J41" s="168" t="s">
        <v>226</v>
      </c>
      <c r="K41" s="168" t="s">
        <v>227</v>
      </c>
      <c r="L41" s="168" t="s">
        <v>228</v>
      </c>
      <c r="M41" s="168" t="s">
        <v>229</v>
      </c>
      <c r="N41" s="168" t="s">
        <v>214</v>
      </c>
      <c r="O41" s="56" t="s">
        <v>262</v>
      </c>
      <c r="P41" s="5"/>
      <c r="Q41" s="5"/>
      <c r="R41" s="5"/>
    </row>
    <row r="42" spans="1:18" ht="50.1" customHeight="1" x14ac:dyDescent="0.25">
      <c r="A42" s="201" t="s">
        <v>257</v>
      </c>
      <c r="B42" s="132">
        <f>SUM(Opening_balance_and_revenue_table_2[Period 1],-Cash_payments_table_2[[#Totals],[Period 1]],Financing_table_2[[#Totals],[Period 1]])</f>
        <v>0</v>
      </c>
      <c r="C42" s="132">
        <f>SUM(Opening_balance_and_revenue_table_2[Period 2],-Cash_payments_table_2[[#Totals],[Period 2]],Financing_table_2[[#Totals],[Period 2]])</f>
        <v>0</v>
      </c>
      <c r="D42" s="132">
        <f>SUM(Opening_balance_and_revenue_table_2[Period 3],-Cash_payments_table_2[[#Totals],[Period 3]],Financing_table_2[[#Totals],[Period 3]])</f>
        <v>0</v>
      </c>
      <c r="E42" s="132">
        <f>SUM(Opening_balance_and_revenue_table_2[Period 4],-Cash_payments_table_2[[#Totals],[Period 4]],Financing_table_2[[#Totals],[Period 4]])</f>
        <v>0</v>
      </c>
      <c r="F42" s="132">
        <f>SUM(Opening_balance_and_revenue_table_2[Period 5],-Cash_payments_table_2[[#Totals],[Period 5]],Financing_table_2[[#Totals],[Period 5]])</f>
        <v>0</v>
      </c>
      <c r="G42" s="132">
        <f>SUM(Opening_balance_and_revenue_table_2[Period 6],-Cash_payments_table_2[[#Totals],[Period 6]],Financing_table_2[[#Totals],[Period 6]])</f>
        <v>0</v>
      </c>
      <c r="H42" s="132">
        <f>SUM(Opening_balance_and_revenue_table_2[Period 7],-Cash_payments_table_2[[#Totals],[Period 7]],Financing_table_2[[#Totals],[Period 7]])</f>
        <v>0</v>
      </c>
      <c r="I42" s="132">
        <f>SUM(Opening_balance_and_revenue_table_2[Period 8],-Cash_payments_table_2[[#Totals],[Period 8]],Financing_table_2[[#Totals],[Period 8]])</f>
        <v>0</v>
      </c>
      <c r="J42" s="132">
        <f>SUM(Opening_balance_and_revenue_table_2[Period 9],-Cash_payments_table_2[[#Totals],[Period 9]],Financing_table_2[[#Totals],[Period 9]])</f>
        <v>0</v>
      </c>
      <c r="K42" s="132">
        <f>SUM(Opening_balance_and_revenue_table_2[Period 10],-Cash_payments_table_2[[#Totals],[Period 10]],Financing_table_2[[#Totals],[Period 10]])</f>
        <v>0</v>
      </c>
      <c r="L42" s="132">
        <f>SUM(Opening_balance_and_revenue_table_2[Period 11],-Cash_payments_table_2[[#Totals],[Period 11]],Financing_table_2[[#Totals],[Period 11]])</f>
        <v>0</v>
      </c>
      <c r="M42" s="132">
        <f>SUM(Opening_balance_and_revenue_table_2[Period 12],-Cash_payments_table_2[[#Totals],[Period 12]],Financing_table_2[[#Totals],[Period 12]])</f>
        <v>0</v>
      </c>
      <c r="N42" s="132"/>
      <c r="O42" s="56" t="s">
        <v>262</v>
      </c>
      <c r="P42" s="4"/>
      <c r="Q42" s="4"/>
      <c r="R42" s="4"/>
    </row>
    <row r="43" spans="1:18" ht="30" hidden="1" customHeight="1" x14ac:dyDescent="0.25">
      <c r="A43" s="169" t="s">
        <v>237</v>
      </c>
      <c r="B43" s="163" cm="1">
        <f t="array" ref="B43">SUM(B42,-Opening_balance_table_2[Period 1])</f>
        <v>0</v>
      </c>
      <c r="C43" s="163">
        <f>SUM(C42,-B42)</f>
        <v>0</v>
      </c>
      <c r="D43" s="163">
        <f t="shared" ref="D43:M43" si="6">SUM(D42,-C42)</f>
        <v>0</v>
      </c>
      <c r="E43" s="163">
        <f t="shared" si="6"/>
        <v>0</v>
      </c>
      <c r="F43" s="163">
        <f t="shared" si="6"/>
        <v>0</v>
      </c>
      <c r="G43" s="163">
        <f t="shared" si="6"/>
        <v>0</v>
      </c>
      <c r="H43" s="163">
        <f t="shared" si="6"/>
        <v>0</v>
      </c>
      <c r="I43" s="163">
        <f t="shared" si="6"/>
        <v>0</v>
      </c>
      <c r="J43" s="163">
        <f t="shared" si="6"/>
        <v>0</v>
      </c>
      <c r="K43" s="163">
        <f t="shared" si="6"/>
        <v>0</v>
      </c>
      <c r="L43" s="163">
        <f t="shared" si="6"/>
        <v>0</v>
      </c>
      <c r="M43" s="163">
        <f t="shared" si="6"/>
        <v>0</v>
      </c>
      <c r="N43" s="164">
        <f>SUM(Liquidity_table_2[[#This Row],[Period 1]:[Period 12]])</f>
        <v>0</v>
      </c>
      <c r="O43" s="170" t="s">
        <v>262</v>
      </c>
      <c r="P43" s="5"/>
      <c r="Q43" s="5"/>
      <c r="R43" s="5"/>
    </row>
    <row r="44" spans="1:18" ht="30" customHeight="1" x14ac:dyDescent="0.25">
      <c r="A44" s="171" t="s">
        <v>238</v>
      </c>
      <c r="B44" s="39" t="s">
        <v>64</v>
      </c>
      <c r="C44" s="39" t="s">
        <v>64</v>
      </c>
      <c r="D44" s="39" t="s">
        <v>64</v>
      </c>
      <c r="E44" s="39" t="s">
        <v>64</v>
      </c>
      <c r="F44" s="39" t="s">
        <v>64</v>
      </c>
      <c r="G44" s="39" t="s">
        <v>64</v>
      </c>
      <c r="H44" s="39" t="s">
        <v>64</v>
      </c>
      <c r="I44" s="39" t="s">
        <v>64</v>
      </c>
      <c r="J44" s="39" t="s">
        <v>64</v>
      </c>
      <c r="K44" s="39" t="s">
        <v>64</v>
      </c>
      <c r="L44" s="39" t="s">
        <v>64</v>
      </c>
      <c r="M44" s="39" t="s">
        <v>64</v>
      </c>
      <c r="N44" s="39" t="s">
        <v>64</v>
      </c>
      <c r="O44" s="56" t="s">
        <v>262</v>
      </c>
      <c r="P44" s="5"/>
      <c r="Q44" s="5"/>
      <c r="R44" s="5"/>
    </row>
    <row r="45" spans="1:18" ht="180" customHeight="1" x14ac:dyDescent="0.25">
      <c r="A45" s="173" t="s">
        <v>239</v>
      </c>
      <c r="B45" s="39" t="s">
        <v>64</v>
      </c>
      <c r="C45" s="39" t="s">
        <v>64</v>
      </c>
      <c r="D45" s="39" t="s">
        <v>64</v>
      </c>
      <c r="E45" s="39" t="s">
        <v>64</v>
      </c>
      <c r="F45" s="39" t="s">
        <v>64</v>
      </c>
      <c r="G45" s="39" t="s">
        <v>64</v>
      </c>
      <c r="H45" s="39" t="s">
        <v>64</v>
      </c>
      <c r="I45" s="39" t="s">
        <v>64</v>
      </c>
      <c r="J45" s="39" t="s">
        <v>64</v>
      </c>
      <c r="K45" s="39" t="s">
        <v>64</v>
      </c>
      <c r="L45" s="39" t="s">
        <v>64</v>
      </c>
      <c r="M45" s="39" t="s">
        <v>64</v>
      </c>
      <c r="N45" s="39" t="s">
        <v>64</v>
      </c>
      <c r="O45" s="56" t="s">
        <v>262</v>
      </c>
      <c r="P45" s="4"/>
    </row>
    <row r="46" spans="1:18" ht="18" customHeight="1" x14ac:dyDescent="0.25">
      <c r="A46" s="174" t="s">
        <v>7</v>
      </c>
      <c r="B46" s="39" t="s">
        <v>64</v>
      </c>
      <c r="C46" s="39" t="s">
        <v>64</v>
      </c>
      <c r="D46" s="39" t="s">
        <v>64</v>
      </c>
      <c r="E46" s="39" t="s">
        <v>64</v>
      </c>
      <c r="F46" s="39" t="s">
        <v>64</v>
      </c>
      <c r="G46" s="39" t="s">
        <v>64</v>
      </c>
      <c r="H46" s="39" t="s">
        <v>64</v>
      </c>
      <c r="I46" s="39" t="s">
        <v>64</v>
      </c>
      <c r="J46" s="39" t="s">
        <v>64</v>
      </c>
      <c r="K46" s="39" t="s">
        <v>64</v>
      </c>
      <c r="L46" s="39" t="s">
        <v>64</v>
      </c>
      <c r="M46" s="39" t="s">
        <v>64</v>
      </c>
      <c r="N46" s="39" t="s">
        <v>64</v>
      </c>
      <c r="O46" s="170" t="s">
        <v>262</v>
      </c>
      <c r="P46" s="5"/>
      <c r="Q46" s="5"/>
      <c r="R46" s="5"/>
    </row>
    <row r="47" spans="1:18" ht="3.95" customHeight="1" x14ac:dyDescent="0.25">
      <c r="A47" s="56" t="s">
        <v>263</v>
      </c>
      <c r="B47" s="56" t="s">
        <v>263</v>
      </c>
      <c r="C47" s="56" t="s">
        <v>263</v>
      </c>
      <c r="D47" s="56" t="s">
        <v>263</v>
      </c>
      <c r="E47" s="56" t="s">
        <v>263</v>
      </c>
      <c r="F47" s="56" t="s">
        <v>263</v>
      </c>
      <c r="G47" s="56" t="s">
        <v>263</v>
      </c>
      <c r="H47" s="56" t="s">
        <v>263</v>
      </c>
      <c r="I47" s="56" t="s">
        <v>263</v>
      </c>
      <c r="J47" s="56" t="s">
        <v>263</v>
      </c>
      <c r="K47" s="56" t="s">
        <v>263</v>
      </c>
      <c r="L47" s="56" t="s">
        <v>263</v>
      </c>
      <c r="M47" s="56" t="s">
        <v>263</v>
      </c>
      <c r="N47" s="56" t="s">
        <v>263</v>
      </c>
      <c r="O47" s="170" t="s">
        <v>262</v>
      </c>
    </row>
  </sheetData>
  <sheetProtection sheet="1" objects="1" scenarios="1"/>
  <conditionalFormatting sqref="B9:N9 B17:N17 B42:N43">
    <cfRule type="expression" dxfId="1" priority="2" stopIfTrue="1">
      <formula>B9&lt;0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10" id="{7E3F9C32-9F2C-0A4E-B77C-A99013F9609F}">
            <x14:iconSet iconSet="3Flags" custom="1">
              <x14:cfvo type="percent">
                <xm:f>0</xm:f>
              </x14:cfvo>
              <x14:cfvo type="num">
                <xm:f>0</xm:f>
              </x14:cfvo>
              <x14:cfvo type="num">
                <xm:f>1</xm:f>
              </x14:cfvo>
              <x14:cfIcon iconSet="3Flags" iconId="0"/>
              <x14:cfIcon iconSet="NoIcons" iconId="0"/>
              <x14:cfIcon iconSet="NoIcons" iconId="0"/>
            </x14:iconSet>
          </x14:cfRule>
          <xm:sqref>B17:N17 B9:N9</xm:sqref>
        </x14:conditionalFormatting>
        <x14:conditionalFormatting xmlns:xm="http://schemas.microsoft.com/office/excel/2006/main">
          <x14:cfRule type="iconSet" priority="11" id="{67DF188F-36FA-BD40-BDA1-BAF507DAAEFC}">
            <x14:iconSet iconSet="3Flags" custom="1">
              <x14:cfvo type="percent">
                <xm:f>0</xm:f>
              </x14:cfvo>
              <x14:cfvo type="num" gte="0">
                <xm:f>0</xm:f>
              </x14:cfvo>
              <x14:cfvo type="num" gte="0">
                <xm:f>1</xm:f>
              </x14:cfvo>
              <x14:cfIcon iconSet="3Flags" iconId="0"/>
              <x14:cfIcon iconSet="NoIcons" iconId="0"/>
              <x14:cfIcon iconSet="NoIcons" iconId="0"/>
            </x14:iconSet>
          </x14:cfRule>
          <xm:sqref>B42:N43</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090F4-1F03-3A4C-9B74-6A95E8CBEC26}">
  <dimension ref="A1:NX47"/>
  <sheetViews>
    <sheetView zoomScale="80" zoomScaleNormal="80" workbookViewId="0">
      <selection activeCell="H3" sqref="H3"/>
    </sheetView>
  </sheetViews>
  <sheetFormatPr defaultColWidth="10.875" defaultRowHeight="18" x14ac:dyDescent="0.25"/>
  <cols>
    <col min="1" max="1" width="73.875" style="2" customWidth="1"/>
    <col min="2" max="14" width="23.875" style="2" customWidth="1"/>
    <col min="15" max="15" width="0.625" style="2" customWidth="1"/>
    <col min="16" max="16384" width="10.875" style="2"/>
  </cols>
  <sheetData>
    <row r="1" spans="1:18" ht="60" customHeight="1" x14ac:dyDescent="0.25">
      <c r="A1" s="56" t="s">
        <v>264</v>
      </c>
      <c r="B1" s="39" t="s">
        <v>64</v>
      </c>
      <c r="C1" s="39" t="s">
        <v>64</v>
      </c>
      <c r="D1" s="39" t="s">
        <v>64</v>
      </c>
      <c r="E1" s="39" t="s">
        <v>64</v>
      </c>
      <c r="F1" s="39" t="s">
        <v>64</v>
      </c>
      <c r="G1" s="39" t="s">
        <v>64</v>
      </c>
      <c r="H1" s="39" t="s">
        <v>64</v>
      </c>
      <c r="I1" s="39" t="s">
        <v>64</v>
      </c>
      <c r="J1" s="39" t="s">
        <v>64</v>
      </c>
      <c r="K1" s="39" t="s">
        <v>64</v>
      </c>
      <c r="L1" s="39" t="s">
        <v>64</v>
      </c>
      <c r="M1" s="39" t="s">
        <v>64</v>
      </c>
      <c r="N1" s="39" t="s">
        <v>64</v>
      </c>
      <c r="O1" s="56" t="s">
        <v>267</v>
      </c>
    </row>
    <row r="2" spans="1:18" ht="30" customHeight="1" x14ac:dyDescent="0.25">
      <c r="A2" s="1" t="s">
        <v>204</v>
      </c>
      <c r="B2" s="39" t="s">
        <v>64</v>
      </c>
      <c r="C2" s="39" t="s">
        <v>64</v>
      </c>
      <c r="D2" s="39" t="s">
        <v>64</v>
      </c>
      <c r="E2" s="39" t="s">
        <v>64</v>
      </c>
      <c r="F2" s="39" t="s">
        <v>64</v>
      </c>
      <c r="G2" s="39" t="s">
        <v>64</v>
      </c>
      <c r="H2" s="39" t="s">
        <v>64</v>
      </c>
      <c r="I2" s="39" t="s">
        <v>64</v>
      </c>
      <c r="J2" s="39" t="s">
        <v>64</v>
      </c>
      <c r="K2" s="39" t="s">
        <v>64</v>
      </c>
      <c r="L2" s="39" t="s">
        <v>64</v>
      </c>
      <c r="M2" s="39" t="s">
        <v>64</v>
      </c>
      <c r="N2" s="39" t="s">
        <v>64</v>
      </c>
      <c r="O2" s="56" t="s">
        <v>267</v>
      </c>
      <c r="P2" s="5"/>
      <c r="Q2" s="5"/>
      <c r="R2" s="5"/>
    </row>
    <row r="3" spans="1:18" ht="24.95" customHeight="1" x14ac:dyDescent="0.25">
      <c r="A3" s="2" t="s">
        <v>265</v>
      </c>
      <c r="B3" s="39" t="s">
        <v>64</v>
      </c>
      <c r="C3" s="39" t="s">
        <v>64</v>
      </c>
      <c r="D3" s="39" t="s">
        <v>64</v>
      </c>
      <c r="E3" s="39" t="s">
        <v>64</v>
      </c>
      <c r="F3" s="39" t="s">
        <v>64</v>
      </c>
      <c r="G3" s="39" t="s">
        <v>64</v>
      </c>
      <c r="H3" s="39" t="s">
        <v>64</v>
      </c>
      <c r="I3" s="39" t="s">
        <v>64</v>
      </c>
      <c r="J3" s="39" t="s">
        <v>64</v>
      </c>
      <c r="K3" s="39" t="s">
        <v>64</v>
      </c>
      <c r="L3" s="39" t="s">
        <v>64</v>
      </c>
      <c r="M3" s="39" t="s">
        <v>64</v>
      </c>
      <c r="N3" s="39" t="s">
        <v>64</v>
      </c>
      <c r="O3" s="56" t="s">
        <v>267</v>
      </c>
      <c r="P3" s="5"/>
      <c r="Q3" s="5"/>
      <c r="R3" s="5"/>
    </row>
    <row r="4" spans="1:18" ht="18.75" x14ac:dyDescent="0.25">
      <c r="A4" s="6" t="s">
        <v>206</v>
      </c>
      <c r="B4" s="39" t="s">
        <v>64</v>
      </c>
      <c r="C4" s="39" t="s">
        <v>64</v>
      </c>
      <c r="D4" s="39" t="s">
        <v>64</v>
      </c>
      <c r="E4" s="39" t="s">
        <v>64</v>
      </c>
      <c r="F4" s="39" t="s">
        <v>64</v>
      </c>
      <c r="G4" s="39" t="s">
        <v>64</v>
      </c>
      <c r="H4" s="39" t="s">
        <v>64</v>
      </c>
      <c r="I4" s="39" t="s">
        <v>64</v>
      </c>
      <c r="J4" s="39" t="s">
        <v>64</v>
      </c>
      <c r="K4" s="39" t="s">
        <v>64</v>
      </c>
      <c r="L4" s="39" t="s">
        <v>64</v>
      </c>
      <c r="M4" s="39" t="s">
        <v>64</v>
      </c>
      <c r="N4" s="39" t="s">
        <v>64</v>
      </c>
      <c r="O4" s="56" t="s">
        <v>267</v>
      </c>
      <c r="P4" s="5"/>
      <c r="Q4" s="5"/>
      <c r="R4" s="5"/>
    </row>
    <row r="5" spans="1:18" ht="30" customHeight="1" x14ac:dyDescent="0.25">
      <c r="A5" s="157">
        <v>25.5</v>
      </c>
      <c r="B5" s="39" t="s">
        <v>64</v>
      </c>
      <c r="C5" s="39" t="s">
        <v>64</v>
      </c>
      <c r="D5" s="39" t="s">
        <v>64</v>
      </c>
      <c r="E5" s="39" t="s">
        <v>64</v>
      </c>
      <c r="F5" s="39" t="s">
        <v>64</v>
      </c>
      <c r="G5" s="39" t="s">
        <v>64</v>
      </c>
      <c r="H5" s="39" t="s">
        <v>64</v>
      </c>
      <c r="I5" s="39" t="s">
        <v>64</v>
      </c>
      <c r="J5" s="39" t="s">
        <v>64</v>
      </c>
      <c r="K5" s="39" t="s">
        <v>64</v>
      </c>
      <c r="L5" s="39" t="s">
        <v>64</v>
      </c>
      <c r="M5" s="39" t="s">
        <v>64</v>
      </c>
      <c r="N5" s="39" t="s">
        <v>64</v>
      </c>
      <c r="O5" s="56" t="s">
        <v>267</v>
      </c>
      <c r="P5" s="5"/>
      <c r="Q5" s="5"/>
      <c r="R5" s="5"/>
    </row>
    <row r="6" spans="1:18" ht="18.75" x14ac:dyDescent="0.25">
      <c r="A6" s="6" t="s">
        <v>207</v>
      </c>
      <c r="B6" s="39" t="s">
        <v>64</v>
      </c>
      <c r="C6" s="39" t="s">
        <v>64</v>
      </c>
      <c r="D6" s="39" t="s">
        <v>64</v>
      </c>
      <c r="E6" s="39" t="s">
        <v>64</v>
      </c>
      <c r="F6" s="39" t="s">
        <v>64</v>
      </c>
      <c r="G6" s="39" t="s">
        <v>64</v>
      </c>
      <c r="H6" s="39" t="s">
        <v>64</v>
      </c>
      <c r="I6" s="39" t="s">
        <v>64</v>
      </c>
      <c r="J6" s="39" t="s">
        <v>64</v>
      </c>
      <c r="K6" s="39" t="s">
        <v>64</v>
      </c>
      <c r="L6" s="39" t="s">
        <v>64</v>
      </c>
      <c r="M6" s="39" t="s">
        <v>64</v>
      </c>
      <c r="N6" s="39" t="s">
        <v>64</v>
      </c>
      <c r="O6" s="56" t="s">
        <v>267</v>
      </c>
      <c r="P6" s="5"/>
      <c r="Q6" s="5"/>
      <c r="R6" s="5"/>
    </row>
    <row r="7" spans="1:18" ht="39.950000000000003" customHeight="1" x14ac:dyDescent="0.25">
      <c r="A7" s="42">
        <v>46753</v>
      </c>
      <c r="B7" s="43" t="str">
        <f>UPPER(TEXT(Tilikauden_alku,"[$-0809]kkk"))</f>
        <v>JAN</v>
      </c>
      <c r="C7" s="43" t="str">
        <f>UPPER(TEXT(EOMONTH(Tilikauden_alku,1),"[$-0809]kkk"))</f>
        <v>FEB</v>
      </c>
      <c r="D7" s="43" t="str">
        <f>UPPER(TEXT(EOMONTH(Tilikauden_alku,2),"[$-0809]kkk"))</f>
        <v>MAR</v>
      </c>
      <c r="E7" s="43" t="str">
        <f>UPPER(TEXT(EOMONTH(Tilikauden_alku,3),"[$-0809]kkk"))</f>
        <v>APR</v>
      </c>
      <c r="F7" s="43" t="str">
        <f>UPPER(TEXT(EOMONTH(Tilikauden_alku,4),"[$-0809]kkk"))</f>
        <v>MAY</v>
      </c>
      <c r="G7" s="43" t="str">
        <f>UPPER(TEXT(EOMONTH(Tilikauden_alku,5),"[$-0809]kkk"))</f>
        <v>JUN</v>
      </c>
      <c r="H7" s="43" t="str">
        <f>UPPER(TEXT(EOMONTH(Tilikauden_alku,6),"[$-0809]kkk"))</f>
        <v>JUL</v>
      </c>
      <c r="I7" s="43" t="str">
        <f>UPPER(TEXT(EOMONTH(Tilikauden_alku,7),"[$-0809]kkk"))</f>
        <v>AUG</v>
      </c>
      <c r="J7" s="43" t="str">
        <f>UPPER(TEXT(EOMONTH(Tilikauden_alku,8),"[$-0809]kkk"))</f>
        <v>SEP</v>
      </c>
      <c r="K7" s="43" t="str">
        <f>UPPER(TEXT(EOMONTH(Tilikauden_alku,9),"[$-0809]kkk"))</f>
        <v>OCT</v>
      </c>
      <c r="L7" s="43" t="str">
        <f>UPPER(TEXT(EOMONTH(Tilikauden_alku,10),"[$-0809]kkk"))</f>
        <v>NOV</v>
      </c>
      <c r="M7" s="43" t="str">
        <f>UPPER(TEXT(EOMONTH(Tilikauden_alku,11),"[$-0809]kkk"))</f>
        <v>DEC</v>
      </c>
      <c r="N7" s="43" t="s">
        <v>230</v>
      </c>
      <c r="O7" s="56" t="s">
        <v>267</v>
      </c>
      <c r="P7" s="5"/>
      <c r="Q7" s="5"/>
      <c r="R7" s="5"/>
    </row>
    <row r="8" spans="1:18" ht="30" customHeight="1" x14ac:dyDescent="0.25">
      <c r="A8" s="44" t="s">
        <v>208</v>
      </c>
      <c r="B8" s="26" t="s">
        <v>218</v>
      </c>
      <c r="C8" s="26" t="s">
        <v>219</v>
      </c>
      <c r="D8" s="26" t="s">
        <v>220</v>
      </c>
      <c r="E8" s="26" t="s">
        <v>221</v>
      </c>
      <c r="F8" s="26" t="s">
        <v>222</v>
      </c>
      <c r="G8" s="26" t="s">
        <v>223</v>
      </c>
      <c r="H8" s="26" t="s">
        <v>224</v>
      </c>
      <c r="I8" s="26" t="s">
        <v>225</v>
      </c>
      <c r="J8" s="26" t="s">
        <v>226</v>
      </c>
      <c r="K8" s="26" t="s">
        <v>227</v>
      </c>
      <c r="L8" s="26" t="s">
        <v>228</v>
      </c>
      <c r="M8" s="26" t="s">
        <v>229</v>
      </c>
      <c r="N8" s="27" t="s">
        <v>214</v>
      </c>
      <c r="O8" s="56" t="s">
        <v>267</v>
      </c>
      <c r="P8" s="5"/>
      <c r="Q8" s="5"/>
      <c r="R8" s="5"/>
    </row>
    <row r="9" spans="1:18" ht="30" customHeight="1" x14ac:dyDescent="0.25">
      <c r="A9" s="45" t="s">
        <v>209</v>
      </c>
      <c r="B9" s="132">
        <f>'Cash flow calculation (Y2)'!M42</f>
        <v>0</v>
      </c>
      <c r="C9" s="132">
        <f>B42</f>
        <v>0</v>
      </c>
      <c r="D9" s="132">
        <f t="shared" ref="D9:M9" si="0">C42</f>
        <v>0</v>
      </c>
      <c r="E9" s="132">
        <f t="shared" si="0"/>
        <v>0</v>
      </c>
      <c r="F9" s="132">
        <f t="shared" si="0"/>
        <v>0</v>
      </c>
      <c r="G9" s="132">
        <f t="shared" si="0"/>
        <v>0</v>
      </c>
      <c r="H9" s="132">
        <f t="shared" si="0"/>
        <v>0</v>
      </c>
      <c r="I9" s="132">
        <f t="shared" si="0"/>
        <v>0</v>
      </c>
      <c r="J9" s="132">
        <f t="shared" si="0"/>
        <v>0</v>
      </c>
      <c r="K9" s="132">
        <f t="shared" si="0"/>
        <v>0</v>
      </c>
      <c r="L9" s="132">
        <f t="shared" si="0"/>
        <v>0</v>
      </c>
      <c r="M9" s="132">
        <f t="shared" si="0"/>
        <v>0</v>
      </c>
      <c r="N9" s="132"/>
      <c r="O9" s="56" t="s">
        <v>267</v>
      </c>
      <c r="P9" s="5"/>
      <c r="Q9" s="5"/>
      <c r="R9" s="5"/>
    </row>
    <row r="10" spans="1:18" ht="30" customHeight="1" x14ac:dyDescent="0.25">
      <c r="A10" s="17" t="s">
        <v>210</v>
      </c>
      <c r="B10" s="26" t="s">
        <v>218</v>
      </c>
      <c r="C10" s="26" t="s">
        <v>219</v>
      </c>
      <c r="D10" s="26" t="s">
        <v>220</v>
      </c>
      <c r="E10" s="26" t="s">
        <v>221</v>
      </c>
      <c r="F10" s="26" t="s">
        <v>222</v>
      </c>
      <c r="G10" s="26" t="s">
        <v>223</v>
      </c>
      <c r="H10" s="26" t="s">
        <v>224</v>
      </c>
      <c r="I10" s="26" t="s">
        <v>225</v>
      </c>
      <c r="J10" s="26" t="s">
        <v>226</v>
      </c>
      <c r="K10" s="26" t="s">
        <v>227</v>
      </c>
      <c r="L10" s="26" t="s">
        <v>228</v>
      </c>
      <c r="M10" s="26" t="s">
        <v>229</v>
      </c>
      <c r="N10" s="27" t="s">
        <v>214</v>
      </c>
      <c r="O10" s="56" t="s">
        <v>267</v>
      </c>
      <c r="P10" s="5"/>
      <c r="Q10" s="5"/>
      <c r="R10" s="5"/>
    </row>
    <row r="11" spans="1:18" ht="20.100000000000001" customHeight="1" x14ac:dyDescent="0.25">
      <c r="A11" s="46" t="s">
        <v>211</v>
      </c>
      <c r="B11" s="134"/>
      <c r="C11" s="134"/>
      <c r="D11" s="134"/>
      <c r="E11" s="134"/>
      <c r="F11" s="134"/>
      <c r="G11" s="134"/>
      <c r="H11" s="134"/>
      <c r="I11" s="134"/>
      <c r="J11" s="134"/>
      <c r="K11" s="134"/>
      <c r="L11" s="134"/>
      <c r="M11" s="135"/>
      <c r="N11" s="136">
        <f>SUM(Cash_receipts_table_3[[#This Row],[Period 1]:[Period 12]])</f>
        <v>0</v>
      </c>
      <c r="O11" s="56" t="s">
        <v>267</v>
      </c>
      <c r="P11" s="5"/>
      <c r="Q11" s="5"/>
      <c r="R11" s="5"/>
    </row>
    <row r="12" spans="1:18" ht="20.100000000000001" customHeight="1" x14ac:dyDescent="0.25">
      <c r="A12" s="47" t="s">
        <v>212</v>
      </c>
      <c r="B12" s="138"/>
      <c r="C12" s="138"/>
      <c r="D12" s="138"/>
      <c r="E12" s="138"/>
      <c r="F12" s="138"/>
      <c r="G12" s="138"/>
      <c r="H12" s="138"/>
      <c r="I12" s="138"/>
      <c r="J12" s="138"/>
      <c r="K12" s="138"/>
      <c r="L12" s="138"/>
      <c r="M12" s="139"/>
      <c r="N12" s="140">
        <f>SUM(Cash_receipts_table_3[[#This Row],[Period 1]:[Period 12]])</f>
        <v>0</v>
      </c>
      <c r="O12" s="56" t="s">
        <v>267</v>
      </c>
      <c r="P12" s="5"/>
      <c r="Q12" s="5"/>
      <c r="R12" s="5"/>
    </row>
    <row r="13" spans="1:18" ht="20.100000000000001" customHeight="1" thickBot="1" x14ac:dyDescent="0.3">
      <c r="A13" s="48" t="s">
        <v>213</v>
      </c>
      <c r="B13" s="142"/>
      <c r="C13" s="142"/>
      <c r="D13" s="142"/>
      <c r="E13" s="142"/>
      <c r="F13" s="142"/>
      <c r="G13" s="142"/>
      <c r="H13" s="142"/>
      <c r="I13" s="142"/>
      <c r="J13" s="142"/>
      <c r="K13" s="142"/>
      <c r="L13" s="142"/>
      <c r="M13" s="143"/>
      <c r="N13" s="144">
        <f>SUM(Cash_receipts_table_3[[#This Row],[Period 1]:[Period 12]])</f>
        <v>0</v>
      </c>
      <c r="O13" s="56" t="s">
        <v>267</v>
      </c>
      <c r="P13" s="5"/>
      <c r="Q13" s="5"/>
      <c r="R13" s="5"/>
    </row>
    <row r="14" spans="1:18" ht="30" customHeight="1" x14ac:dyDescent="0.25">
      <c r="A14" s="80" t="s">
        <v>214</v>
      </c>
      <c r="B14" s="145">
        <f t="shared" ref="B14:M14" si="1">SUM(B11:B13)</f>
        <v>0</v>
      </c>
      <c r="C14" s="145">
        <f t="shared" si="1"/>
        <v>0</v>
      </c>
      <c r="D14" s="145">
        <f t="shared" si="1"/>
        <v>0</v>
      </c>
      <c r="E14" s="145">
        <f t="shared" si="1"/>
        <v>0</v>
      </c>
      <c r="F14" s="145">
        <f t="shared" si="1"/>
        <v>0</v>
      </c>
      <c r="G14" s="145">
        <f t="shared" si="1"/>
        <v>0</v>
      </c>
      <c r="H14" s="145">
        <f t="shared" si="1"/>
        <v>0</v>
      </c>
      <c r="I14" s="145">
        <f t="shared" si="1"/>
        <v>0</v>
      </c>
      <c r="J14" s="145">
        <f t="shared" si="1"/>
        <v>0</v>
      </c>
      <c r="K14" s="145">
        <f t="shared" si="1"/>
        <v>0</v>
      </c>
      <c r="L14" s="145">
        <f t="shared" si="1"/>
        <v>0</v>
      </c>
      <c r="M14" s="145">
        <f t="shared" si="1"/>
        <v>0</v>
      </c>
      <c r="N14" s="146">
        <f>SUM(Cash_receipts_table_3[[#This Row],[Period 1]:[Period 12]])</f>
        <v>0</v>
      </c>
      <c r="O14" s="56" t="s">
        <v>267</v>
      </c>
      <c r="P14" s="5"/>
      <c r="Q14" s="5"/>
      <c r="R14" s="5"/>
    </row>
    <row r="15" spans="1:18" ht="30" customHeight="1" x14ac:dyDescent="0.25">
      <c r="A15" s="82" t="s">
        <v>215</v>
      </c>
      <c r="B15" s="147">
        <f t="shared" ref="B15:M15" si="2">B14*(1+(Value_added_tax_rate/100))</f>
        <v>0</v>
      </c>
      <c r="C15" s="147">
        <f t="shared" si="2"/>
        <v>0</v>
      </c>
      <c r="D15" s="147">
        <f t="shared" si="2"/>
        <v>0</v>
      </c>
      <c r="E15" s="147">
        <f t="shared" si="2"/>
        <v>0</v>
      </c>
      <c r="F15" s="147">
        <f t="shared" si="2"/>
        <v>0</v>
      </c>
      <c r="G15" s="147">
        <f t="shared" si="2"/>
        <v>0</v>
      </c>
      <c r="H15" s="147">
        <f t="shared" si="2"/>
        <v>0</v>
      </c>
      <c r="I15" s="147">
        <f t="shared" si="2"/>
        <v>0</v>
      </c>
      <c r="J15" s="147">
        <f t="shared" si="2"/>
        <v>0</v>
      </c>
      <c r="K15" s="147">
        <f t="shared" si="2"/>
        <v>0</v>
      </c>
      <c r="L15" s="147">
        <f t="shared" si="2"/>
        <v>0</v>
      </c>
      <c r="M15" s="147">
        <f t="shared" si="2"/>
        <v>0</v>
      </c>
      <c r="N15" s="147">
        <f>SUM(Cash_receipts_table_3[[#This Row],[Period 1]:[Period 12]])</f>
        <v>0</v>
      </c>
      <c r="O15" s="56" t="s">
        <v>267</v>
      </c>
      <c r="P15" s="5"/>
      <c r="Q15" s="5"/>
      <c r="R15" s="5"/>
    </row>
    <row r="16" spans="1:18" ht="30" customHeight="1" x14ac:dyDescent="0.25">
      <c r="A16" s="49" t="s">
        <v>231</v>
      </c>
      <c r="B16" s="26" t="s">
        <v>218</v>
      </c>
      <c r="C16" s="26" t="s">
        <v>219</v>
      </c>
      <c r="D16" s="26" t="s">
        <v>220</v>
      </c>
      <c r="E16" s="26" t="s">
        <v>221</v>
      </c>
      <c r="F16" s="26" t="s">
        <v>222</v>
      </c>
      <c r="G16" s="26" t="s">
        <v>223</v>
      </c>
      <c r="H16" s="26" t="s">
        <v>224</v>
      </c>
      <c r="I16" s="26" t="s">
        <v>225</v>
      </c>
      <c r="J16" s="26" t="s">
        <v>226</v>
      </c>
      <c r="K16" s="26" t="s">
        <v>227</v>
      </c>
      <c r="L16" s="26" t="s">
        <v>228</v>
      </c>
      <c r="M16" s="26" t="s">
        <v>229</v>
      </c>
      <c r="N16" s="27" t="s">
        <v>214</v>
      </c>
      <c r="O16" s="56" t="s">
        <v>267</v>
      </c>
      <c r="P16" s="5"/>
      <c r="Q16" s="5"/>
      <c r="R16" s="5"/>
    </row>
    <row r="17" spans="1:388" ht="30" customHeight="1" x14ac:dyDescent="0.25">
      <c r="A17" s="45" t="s">
        <v>232</v>
      </c>
      <c r="B17" s="132">
        <f>SUM(Opening_table_3[Period 1],B15)</f>
        <v>0</v>
      </c>
      <c r="C17" s="132">
        <f>SUM(Opening_table_3[Period 2],C15)</f>
        <v>0</v>
      </c>
      <c r="D17" s="132">
        <f>SUM(Opening_table_3[Period 3],D15)</f>
        <v>0</v>
      </c>
      <c r="E17" s="132">
        <f>SUM(Opening_table_3[Period 4],E15)</f>
        <v>0</v>
      </c>
      <c r="F17" s="132">
        <f>SUM(Opening_table_3[Period 5],F15)</f>
        <v>0</v>
      </c>
      <c r="G17" s="132">
        <f>SUM(Opening_table_3[Period 6],G15)</f>
        <v>0</v>
      </c>
      <c r="H17" s="132">
        <f>SUM(Opening_table_3[Period 7],H15)</f>
        <v>0</v>
      </c>
      <c r="I17" s="132">
        <f>SUM(Opening_table_3[Period 8],I15)</f>
        <v>0</v>
      </c>
      <c r="J17" s="132">
        <f>SUM(Opening_table_3[Period 9],J15)</f>
        <v>0</v>
      </c>
      <c r="K17" s="132">
        <f>SUM(Opening_table_3[Period 10],K15)</f>
        <v>0</v>
      </c>
      <c r="L17" s="132">
        <f>SUM(Opening_table_3[Period 11],L15)</f>
        <v>0</v>
      </c>
      <c r="M17" s="132">
        <f>SUM(Opening_table_3[Period 12],M15)</f>
        <v>0</v>
      </c>
      <c r="N17" s="132"/>
      <c r="O17" s="56" t="s">
        <v>267</v>
      </c>
      <c r="P17" s="5"/>
      <c r="Q17" s="5"/>
      <c r="R17" s="5"/>
    </row>
    <row r="18" spans="1:388" ht="30" customHeight="1" x14ac:dyDescent="0.25">
      <c r="A18" s="49" t="s">
        <v>233</v>
      </c>
      <c r="B18" s="26" t="s">
        <v>218</v>
      </c>
      <c r="C18" s="26" t="s">
        <v>219</v>
      </c>
      <c r="D18" s="26" t="s">
        <v>220</v>
      </c>
      <c r="E18" s="26" t="s">
        <v>221</v>
      </c>
      <c r="F18" s="26" t="s">
        <v>222</v>
      </c>
      <c r="G18" s="26" t="s">
        <v>223</v>
      </c>
      <c r="H18" s="26" t="s">
        <v>224</v>
      </c>
      <c r="I18" s="26" t="s">
        <v>225</v>
      </c>
      <c r="J18" s="26" t="s">
        <v>226</v>
      </c>
      <c r="K18" s="26" t="s">
        <v>227</v>
      </c>
      <c r="L18" s="26" t="s">
        <v>228</v>
      </c>
      <c r="M18" s="26" t="s">
        <v>229</v>
      </c>
      <c r="N18" s="27" t="s">
        <v>214</v>
      </c>
      <c r="O18" s="56" t="s">
        <v>267</v>
      </c>
      <c r="P18" s="5"/>
      <c r="Q18" s="5"/>
      <c r="R18" s="5"/>
    </row>
    <row r="19" spans="1:388" ht="20.100000000000001" customHeight="1" thickBot="1" x14ac:dyDescent="0.3">
      <c r="A19" s="84" t="s">
        <v>234</v>
      </c>
      <c r="B19" s="162"/>
      <c r="C19" s="162"/>
      <c r="D19" s="162"/>
      <c r="E19" s="162"/>
      <c r="F19" s="162"/>
      <c r="G19" s="162"/>
      <c r="H19" s="162"/>
      <c r="I19" s="162"/>
      <c r="J19" s="162"/>
      <c r="K19" s="162"/>
      <c r="L19" s="162"/>
      <c r="M19" s="162"/>
      <c r="N19" s="104">
        <f>SUM(Cash_payments_VAT_table_3[[#This Row],[Period 1]:[Period 12]])</f>
        <v>0</v>
      </c>
      <c r="O19" s="56" t="s">
        <v>267</v>
      </c>
      <c r="P19" s="5"/>
      <c r="Q19" s="5"/>
      <c r="R19" s="5"/>
    </row>
    <row r="20" spans="1:388" ht="30" customHeight="1" x14ac:dyDescent="0.25">
      <c r="A20" s="81" t="s">
        <v>235</v>
      </c>
      <c r="B20" s="148">
        <f t="shared" ref="B20:L20" si="3">B19*(1+(Value_added_tax_rate/100))</f>
        <v>0</v>
      </c>
      <c r="C20" s="148">
        <f t="shared" si="3"/>
        <v>0</v>
      </c>
      <c r="D20" s="148">
        <f t="shared" si="3"/>
        <v>0</v>
      </c>
      <c r="E20" s="148">
        <f t="shared" si="3"/>
        <v>0</v>
      </c>
      <c r="F20" s="148">
        <f t="shared" si="3"/>
        <v>0</v>
      </c>
      <c r="G20" s="148">
        <f t="shared" si="3"/>
        <v>0</v>
      </c>
      <c r="H20" s="148">
        <f t="shared" si="3"/>
        <v>0</v>
      </c>
      <c r="I20" s="148">
        <f t="shared" si="3"/>
        <v>0</v>
      </c>
      <c r="J20" s="148">
        <f t="shared" si="3"/>
        <v>0</v>
      </c>
      <c r="K20" s="148">
        <f t="shared" si="3"/>
        <v>0</v>
      </c>
      <c r="L20" s="148">
        <f t="shared" si="3"/>
        <v>0</v>
      </c>
      <c r="M20" s="148">
        <f>M19*(1+(Value_added_tax_rate/100))</f>
        <v>0</v>
      </c>
      <c r="N20" s="148">
        <f>SUM(Cash_payments_VAT_table_3[[#This Row],[Period 1]:[Period 12]])</f>
        <v>0</v>
      </c>
      <c r="O20" s="56" t="s">
        <v>267</v>
      </c>
      <c r="P20" s="5"/>
      <c r="Q20" s="5"/>
      <c r="R20" s="5"/>
    </row>
    <row r="21" spans="1:388" ht="30" customHeight="1" x14ac:dyDescent="0.25">
      <c r="A21" s="82" t="s">
        <v>236</v>
      </c>
      <c r="B21" s="149">
        <f>('Cash flow calculation (Y2)'!L15-'Cash flow calculation (Y2)'!L14)-('Cash flow calculation (Y2)'!L20-'Cash flow calculation (Y2)'!L19)</f>
        <v>0</v>
      </c>
      <c r="C21" s="149">
        <f>('Cash flow calculation (Y2)'!M15-'Cash flow calculation (Y2)'!M14)-('Cash flow calculation (Y2)'!M20-'Cash flow calculation (Y2)'!M19)</f>
        <v>0</v>
      </c>
      <c r="D21" s="149">
        <f t="shared" ref="D21:L21" si="4">(B15-B14)-(B20-B19)</f>
        <v>0</v>
      </c>
      <c r="E21" s="149">
        <f t="shared" si="4"/>
        <v>0</v>
      </c>
      <c r="F21" s="149">
        <f t="shared" si="4"/>
        <v>0</v>
      </c>
      <c r="G21" s="149">
        <f t="shared" si="4"/>
        <v>0</v>
      </c>
      <c r="H21" s="149">
        <f t="shared" si="4"/>
        <v>0</v>
      </c>
      <c r="I21" s="149">
        <f t="shared" si="4"/>
        <v>0</v>
      </c>
      <c r="J21" s="149">
        <f t="shared" si="4"/>
        <v>0</v>
      </c>
      <c r="K21" s="149">
        <f t="shared" si="4"/>
        <v>0</v>
      </c>
      <c r="L21" s="149">
        <f t="shared" si="4"/>
        <v>0</v>
      </c>
      <c r="M21" s="149">
        <f>(K15-K14)-(K20-K19)</f>
        <v>0</v>
      </c>
      <c r="N21" s="149">
        <f>SUM(Cash_payments_VAT_table_3[[#This Row],[Period 1]:[Period 12]])</f>
        <v>0</v>
      </c>
      <c r="O21" s="56" t="s">
        <v>267</v>
      </c>
      <c r="P21" s="5"/>
      <c r="Q21" s="5"/>
      <c r="R21" s="5"/>
    </row>
    <row r="22" spans="1:388" ht="30" customHeight="1" x14ac:dyDescent="0.25">
      <c r="A22" s="17" t="s">
        <v>240</v>
      </c>
      <c r="B22" s="26" t="s">
        <v>218</v>
      </c>
      <c r="C22" s="26" t="s">
        <v>219</v>
      </c>
      <c r="D22" s="26" t="s">
        <v>220</v>
      </c>
      <c r="E22" s="26" t="s">
        <v>221</v>
      </c>
      <c r="F22" s="26" t="s">
        <v>222</v>
      </c>
      <c r="G22" s="26" t="s">
        <v>223</v>
      </c>
      <c r="H22" s="26" t="s">
        <v>224</v>
      </c>
      <c r="I22" s="26" t="s">
        <v>225</v>
      </c>
      <c r="J22" s="26" t="s">
        <v>226</v>
      </c>
      <c r="K22" s="26" t="s">
        <v>227</v>
      </c>
      <c r="L22" s="26" t="s">
        <v>228</v>
      </c>
      <c r="M22" s="26" t="s">
        <v>229</v>
      </c>
      <c r="N22" s="27" t="s">
        <v>214</v>
      </c>
      <c r="O22" s="56" t="s">
        <v>267</v>
      </c>
      <c r="P22" s="5"/>
      <c r="Q22" s="5"/>
      <c r="R22" s="5"/>
    </row>
    <row r="23" spans="1:388" ht="20.100000000000001" customHeight="1" x14ac:dyDescent="0.25">
      <c r="A23" s="18" t="s">
        <v>241</v>
      </c>
      <c r="B23" s="95"/>
      <c r="C23" s="95"/>
      <c r="D23" s="95"/>
      <c r="E23" s="95"/>
      <c r="F23" s="95"/>
      <c r="G23" s="95"/>
      <c r="H23" s="95"/>
      <c r="I23" s="95"/>
      <c r="J23" s="95"/>
      <c r="K23" s="95"/>
      <c r="L23" s="95"/>
      <c r="M23" s="95"/>
      <c r="N23" s="150">
        <f>SUM(Cash_payments_table_3[[#This Row],[Period 1]:[Period 12]])</f>
        <v>0</v>
      </c>
      <c r="O23" s="56" t="s">
        <v>267</v>
      </c>
      <c r="P23" s="5"/>
      <c r="Q23" s="5"/>
      <c r="R23" s="5"/>
    </row>
    <row r="24" spans="1:388" ht="20.100000000000001" customHeight="1" x14ac:dyDescent="0.25">
      <c r="A24" s="18" t="s">
        <v>242</v>
      </c>
      <c r="B24" s="95"/>
      <c r="C24" s="95"/>
      <c r="D24" s="95"/>
      <c r="E24" s="95"/>
      <c r="F24" s="95"/>
      <c r="G24" s="95"/>
      <c r="H24" s="95"/>
      <c r="I24" s="95"/>
      <c r="J24" s="95"/>
      <c r="K24" s="95"/>
      <c r="L24" s="95"/>
      <c r="M24" s="95"/>
      <c r="N24" s="150">
        <f>SUM(Cash_payments_table_3[[#This Row],[Period 1]:[Period 12]])</f>
        <v>0</v>
      </c>
      <c r="O24" s="56" t="s">
        <v>267</v>
      </c>
      <c r="P24" s="78"/>
      <c r="Q24" s="78"/>
      <c r="R24" s="78"/>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c r="BZ24" s="79"/>
      <c r="CA24" s="79"/>
      <c r="CB24" s="79"/>
      <c r="CC24" s="79"/>
      <c r="CD24" s="79"/>
      <c r="CE24" s="79"/>
      <c r="CF24" s="79"/>
      <c r="CG24" s="79"/>
      <c r="CH24" s="79"/>
      <c r="CI24" s="79"/>
      <c r="CJ24" s="79"/>
      <c r="CK24" s="79"/>
      <c r="CL24" s="79"/>
      <c r="CM24" s="79"/>
      <c r="CN24" s="79"/>
      <c r="CO24" s="79"/>
      <c r="CP24" s="79"/>
      <c r="CQ24" s="79"/>
      <c r="CR24" s="79"/>
      <c r="CS24" s="79"/>
      <c r="CT24" s="79"/>
      <c r="CU24" s="79"/>
      <c r="CV24" s="79"/>
      <c r="CW24" s="79"/>
      <c r="CX24" s="79"/>
      <c r="CY24" s="79"/>
      <c r="CZ24" s="79"/>
      <c r="DA24" s="79"/>
      <c r="DB24" s="79"/>
      <c r="DC24" s="79"/>
      <c r="DD24" s="79"/>
      <c r="DE24" s="79"/>
      <c r="DF24" s="79"/>
      <c r="DG24" s="79"/>
      <c r="DH24" s="79"/>
      <c r="DI24" s="79"/>
      <c r="DJ24" s="79"/>
      <c r="DK24" s="79"/>
      <c r="DL24" s="79"/>
      <c r="DM24" s="79"/>
      <c r="DN24" s="79"/>
      <c r="DO24" s="79"/>
      <c r="DP24" s="79"/>
      <c r="DQ24" s="79"/>
      <c r="DR24" s="79"/>
      <c r="DS24" s="79"/>
      <c r="DT24" s="79"/>
      <c r="DU24" s="79"/>
      <c r="DV24" s="79"/>
      <c r="DW24" s="79"/>
      <c r="DX24" s="79"/>
      <c r="DY24" s="79"/>
      <c r="DZ24" s="79"/>
      <c r="EA24" s="79"/>
      <c r="EB24" s="79"/>
      <c r="EC24" s="79"/>
      <c r="ED24" s="79"/>
      <c r="EE24" s="79"/>
      <c r="EF24" s="79"/>
      <c r="EG24" s="79"/>
      <c r="EH24" s="79"/>
      <c r="EI24" s="79"/>
      <c r="EJ24" s="79"/>
      <c r="EK24" s="79"/>
      <c r="EL24" s="79"/>
      <c r="EM24" s="79"/>
      <c r="EN24" s="79"/>
      <c r="EO24" s="79"/>
      <c r="EP24" s="79"/>
      <c r="EQ24" s="79"/>
      <c r="ER24" s="79"/>
      <c r="ES24" s="79"/>
      <c r="ET24" s="79"/>
      <c r="EU24" s="79"/>
      <c r="EV24" s="79"/>
      <c r="EW24" s="79"/>
      <c r="EX24" s="79"/>
      <c r="EY24" s="79"/>
      <c r="EZ24" s="79"/>
      <c r="FA24" s="79"/>
      <c r="FB24" s="79"/>
      <c r="FC24" s="79"/>
      <c r="FD24" s="79"/>
      <c r="FE24" s="79"/>
      <c r="FF24" s="79"/>
      <c r="FG24" s="79"/>
      <c r="FH24" s="79"/>
      <c r="FI24" s="79"/>
      <c r="FJ24" s="79"/>
      <c r="FK24" s="79"/>
      <c r="FL24" s="79"/>
      <c r="FM24" s="79"/>
      <c r="FN24" s="79"/>
      <c r="FO24" s="79"/>
      <c r="FP24" s="79"/>
      <c r="FQ24" s="79"/>
      <c r="FR24" s="79"/>
      <c r="FS24" s="79"/>
      <c r="FT24" s="79"/>
      <c r="FU24" s="79"/>
      <c r="FV24" s="79"/>
      <c r="FW24" s="79"/>
      <c r="FX24" s="79"/>
      <c r="FY24" s="79"/>
      <c r="FZ24" s="79"/>
      <c r="GA24" s="79"/>
      <c r="GB24" s="79"/>
      <c r="GC24" s="79"/>
      <c r="GD24" s="79"/>
      <c r="GE24" s="79"/>
      <c r="GF24" s="79"/>
      <c r="GG24" s="79"/>
      <c r="GH24" s="79"/>
      <c r="GI24" s="79"/>
      <c r="GJ24" s="79"/>
      <c r="GK24" s="79"/>
      <c r="GL24" s="79"/>
      <c r="GM24" s="79"/>
      <c r="GN24" s="79"/>
      <c r="GO24" s="79"/>
      <c r="GP24" s="79"/>
      <c r="GQ24" s="79"/>
      <c r="GR24" s="79"/>
      <c r="GS24" s="79"/>
      <c r="GT24" s="79"/>
      <c r="GU24" s="79"/>
      <c r="GV24" s="79"/>
      <c r="GW24" s="79"/>
      <c r="GX24" s="79"/>
      <c r="GY24" s="79"/>
      <c r="GZ24" s="79"/>
      <c r="HA24" s="79"/>
      <c r="HB24" s="79"/>
      <c r="HC24" s="79"/>
      <c r="HD24" s="79"/>
      <c r="HE24" s="79"/>
      <c r="HF24" s="79"/>
      <c r="HG24" s="79"/>
      <c r="HH24" s="79"/>
      <c r="HI24" s="79"/>
      <c r="HJ24" s="79"/>
      <c r="HK24" s="79"/>
      <c r="HL24" s="79"/>
      <c r="HM24" s="79"/>
      <c r="HN24" s="79"/>
      <c r="HO24" s="79"/>
      <c r="HP24" s="79"/>
      <c r="HQ24" s="79"/>
      <c r="HR24" s="79"/>
      <c r="HS24" s="79"/>
      <c r="HT24" s="79"/>
      <c r="HU24" s="79"/>
      <c r="HV24" s="79"/>
      <c r="HW24" s="79"/>
      <c r="HX24" s="79"/>
      <c r="HY24" s="79"/>
      <c r="HZ24" s="79"/>
      <c r="IA24" s="79"/>
      <c r="IB24" s="79"/>
      <c r="IC24" s="79"/>
      <c r="ID24" s="79"/>
      <c r="IE24" s="79"/>
      <c r="IF24" s="79"/>
      <c r="IG24" s="79"/>
      <c r="IH24" s="79"/>
      <c r="II24" s="79"/>
      <c r="IJ24" s="79"/>
      <c r="IK24" s="79"/>
      <c r="IL24" s="79"/>
      <c r="IM24" s="79"/>
      <c r="IN24" s="79"/>
      <c r="IO24" s="79"/>
      <c r="IP24" s="79"/>
      <c r="IQ24" s="79"/>
      <c r="IR24" s="79"/>
      <c r="IS24" s="79"/>
      <c r="IT24" s="79"/>
      <c r="IU24" s="79"/>
      <c r="IV24" s="79"/>
      <c r="IW24" s="79"/>
      <c r="IX24" s="79"/>
      <c r="IY24" s="79"/>
      <c r="IZ24" s="79"/>
      <c r="JA24" s="79"/>
      <c r="JB24" s="79"/>
      <c r="JC24" s="79"/>
      <c r="JD24" s="79"/>
      <c r="JE24" s="79"/>
      <c r="JF24" s="79"/>
      <c r="JG24" s="79"/>
      <c r="JH24" s="79"/>
      <c r="JI24" s="79"/>
      <c r="JJ24" s="79"/>
      <c r="JK24" s="79"/>
      <c r="JL24" s="79"/>
      <c r="JM24" s="79"/>
      <c r="JN24" s="79"/>
      <c r="JO24" s="79"/>
      <c r="JP24" s="79"/>
      <c r="JQ24" s="79"/>
      <c r="JR24" s="79"/>
      <c r="JS24" s="79"/>
      <c r="JT24" s="79"/>
      <c r="JU24" s="79"/>
      <c r="JV24" s="79"/>
      <c r="JW24" s="79"/>
      <c r="JX24" s="79"/>
      <c r="JY24" s="79"/>
      <c r="JZ24" s="79"/>
      <c r="KA24" s="79"/>
      <c r="KB24" s="79"/>
      <c r="KC24" s="79"/>
      <c r="KD24" s="79"/>
      <c r="KE24" s="79"/>
      <c r="KF24" s="79"/>
      <c r="KG24" s="79"/>
      <c r="KH24" s="79"/>
      <c r="KI24" s="79"/>
      <c r="KJ24" s="79"/>
      <c r="KK24" s="79"/>
      <c r="KL24" s="79"/>
      <c r="KM24" s="79"/>
      <c r="KN24" s="79"/>
      <c r="KO24" s="79"/>
      <c r="KP24" s="79"/>
      <c r="KQ24" s="79"/>
      <c r="KR24" s="79"/>
      <c r="KS24" s="79"/>
      <c r="KT24" s="79"/>
      <c r="KU24" s="79"/>
      <c r="KV24" s="79"/>
      <c r="KW24" s="79"/>
      <c r="KX24" s="79"/>
      <c r="KY24" s="79"/>
      <c r="KZ24" s="79"/>
      <c r="LA24" s="79"/>
      <c r="LB24" s="79"/>
      <c r="LC24" s="79"/>
      <c r="LD24" s="79"/>
      <c r="LE24" s="79"/>
      <c r="LF24" s="79"/>
      <c r="LG24" s="79"/>
      <c r="LH24" s="79"/>
      <c r="LI24" s="79"/>
      <c r="LJ24" s="79"/>
      <c r="LK24" s="79"/>
      <c r="LL24" s="79"/>
      <c r="LM24" s="79"/>
      <c r="LN24" s="79"/>
      <c r="LO24" s="79"/>
      <c r="LP24" s="79"/>
      <c r="LQ24" s="79"/>
      <c r="LR24" s="79"/>
      <c r="LS24" s="79"/>
      <c r="LT24" s="79"/>
      <c r="LU24" s="79"/>
      <c r="LV24" s="79"/>
      <c r="LW24" s="79"/>
      <c r="LX24" s="79"/>
      <c r="LY24" s="79"/>
      <c r="LZ24" s="79"/>
      <c r="MA24" s="79"/>
      <c r="MB24" s="79"/>
      <c r="MC24" s="79"/>
      <c r="MD24" s="79"/>
      <c r="ME24" s="79"/>
      <c r="MF24" s="79"/>
      <c r="MG24" s="79"/>
      <c r="MH24" s="79"/>
      <c r="MI24" s="79"/>
      <c r="MJ24" s="79"/>
      <c r="MK24" s="79"/>
      <c r="ML24" s="79"/>
      <c r="MM24" s="79"/>
      <c r="MN24" s="79"/>
      <c r="MO24" s="79"/>
      <c r="MP24" s="79"/>
      <c r="MQ24" s="79"/>
      <c r="MR24" s="79"/>
      <c r="MS24" s="79"/>
      <c r="MT24" s="79"/>
      <c r="MU24" s="79"/>
      <c r="MV24" s="79"/>
      <c r="MW24" s="79"/>
      <c r="MX24" s="79"/>
      <c r="MY24" s="79"/>
      <c r="MZ24" s="79"/>
      <c r="NA24" s="79"/>
      <c r="NB24" s="79"/>
      <c r="NC24" s="79"/>
      <c r="ND24" s="79"/>
      <c r="NE24" s="79"/>
      <c r="NF24" s="79"/>
      <c r="NG24" s="79"/>
      <c r="NH24" s="79"/>
      <c r="NI24" s="79"/>
      <c r="NJ24" s="79"/>
      <c r="NK24" s="79"/>
      <c r="NL24" s="79"/>
      <c r="NM24" s="79"/>
      <c r="NN24" s="79"/>
      <c r="NO24" s="79"/>
      <c r="NP24" s="79"/>
      <c r="NQ24" s="79"/>
      <c r="NR24" s="79"/>
      <c r="NS24" s="79"/>
      <c r="NT24" s="79"/>
      <c r="NU24" s="79"/>
      <c r="NV24" s="79"/>
      <c r="NW24" s="79"/>
      <c r="NX24" s="79"/>
    </row>
    <row r="25" spans="1:388" ht="20.100000000000001" customHeight="1" x14ac:dyDescent="0.25">
      <c r="A25" s="40" t="s">
        <v>5</v>
      </c>
      <c r="B25" s="151"/>
      <c r="C25" s="151"/>
      <c r="D25" s="151"/>
      <c r="E25" s="151"/>
      <c r="F25" s="151"/>
      <c r="G25" s="151"/>
      <c r="H25" s="151"/>
      <c r="I25" s="151"/>
      <c r="J25" s="151"/>
      <c r="K25" s="151"/>
      <c r="L25" s="151"/>
      <c r="M25" s="151"/>
      <c r="N25" s="152">
        <f>SUM(Cash_payments_table_3[[#This Row],[Period 1]:[Period 12]])</f>
        <v>0</v>
      </c>
      <c r="O25" s="56" t="s">
        <v>267</v>
      </c>
      <c r="P25" s="78"/>
      <c r="Q25" s="78"/>
      <c r="R25" s="78"/>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c r="BA25" s="79"/>
      <c r="BB25" s="79"/>
      <c r="BC25" s="79"/>
      <c r="BD25" s="79"/>
      <c r="BE25" s="79"/>
      <c r="BF25" s="79"/>
      <c r="BG25" s="79"/>
      <c r="BH25" s="79"/>
      <c r="BI25" s="79"/>
      <c r="BJ25" s="79"/>
      <c r="BK25" s="79"/>
      <c r="BL25" s="79"/>
      <c r="BM25" s="79"/>
      <c r="BN25" s="79"/>
      <c r="BO25" s="79"/>
      <c r="BP25" s="79"/>
      <c r="BQ25" s="79"/>
      <c r="BR25" s="79"/>
      <c r="BS25" s="79"/>
      <c r="BT25" s="79"/>
      <c r="BU25" s="79"/>
      <c r="BV25" s="79"/>
      <c r="BW25" s="79"/>
      <c r="BX25" s="79"/>
      <c r="BY25" s="79"/>
      <c r="BZ25" s="79"/>
      <c r="CA25" s="79"/>
      <c r="CB25" s="79"/>
      <c r="CC25" s="79"/>
      <c r="CD25" s="79"/>
      <c r="CE25" s="79"/>
      <c r="CF25" s="79"/>
      <c r="CG25" s="79"/>
      <c r="CH25" s="79"/>
      <c r="CI25" s="79"/>
      <c r="CJ25" s="79"/>
      <c r="CK25" s="79"/>
      <c r="CL25" s="79"/>
      <c r="CM25" s="79"/>
      <c r="CN25" s="79"/>
      <c r="CO25" s="79"/>
      <c r="CP25" s="79"/>
      <c r="CQ25" s="79"/>
      <c r="CR25" s="79"/>
      <c r="CS25" s="79"/>
      <c r="CT25" s="79"/>
      <c r="CU25" s="79"/>
      <c r="CV25" s="79"/>
      <c r="CW25" s="79"/>
      <c r="CX25" s="79"/>
      <c r="CY25" s="79"/>
      <c r="CZ25" s="79"/>
      <c r="DA25" s="79"/>
      <c r="DB25" s="79"/>
      <c r="DC25" s="79"/>
      <c r="DD25" s="79"/>
      <c r="DE25" s="79"/>
      <c r="DF25" s="79"/>
      <c r="DG25" s="79"/>
      <c r="DH25" s="79"/>
      <c r="DI25" s="79"/>
      <c r="DJ25" s="79"/>
      <c r="DK25" s="79"/>
      <c r="DL25" s="79"/>
      <c r="DM25" s="79"/>
      <c r="DN25" s="79"/>
      <c r="DO25" s="79"/>
      <c r="DP25" s="79"/>
      <c r="DQ25" s="79"/>
      <c r="DR25" s="79"/>
      <c r="DS25" s="79"/>
      <c r="DT25" s="79"/>
      <c r="DU25" s="79"/>
      <c r="DV25" s="79"/>
      <c r="DW25" s="79"/>
      <c r="DX25" s="79"/>
      <c r="DY25" s="79"/>
      <c r="DZ25" s="79"/>
      <c r="EA25" s="79"/>
      <c r="EB25" s="79"/>
      <c r="EC25" s="79"/>
      <c r="ED25" s="79"/>
      <c r="EE25" s="79"/>
      <c r="EF25" s="79"/>
      <c r="EG25" s="79"/>
      <c r="EH25" s="79"/>
      <c r="EI25" s="79"/>
      <c r="EJ25" s="79"/>
      <c r="EK25" s="79"/>
      <c r="EL25" s="79"/>
      <c r="EM25" s="79"/>
      <c r="EN25" s="79"/>
      <c r="EO25" s="79"/>
      <c r="EP25" s="79"/>
      <c r="EQ25" s="79"/>
      <c r="ER25" s="79"/>
      <c r="ES25" s="79"/>
      <c r="ET25" s="79"/>
      <c r="EU25" s="79"/>
      <c r="EV25" s="79"/>
      <c r="EW25" s="79"/>
      <c r="EX25" s="79"/>
      <c r="EY25" s="79"/>
      <c r="EZ25" s="79"/>
      <c r="FA25" s="79"/>
      <c r="FB25" s="79"/>
      <c r="FC25" s="79"/>
      <c r="FD25" s="79"/>
      <c r="FE25" s="79"/>
      <c r="FF25" s="79"/>
      <c r="FG25" s="79"/>
      <c r="FH25" s="79"/>
      <c r="FI25" s="79"/>
      <c r="FJ25" s="79"/>
      <c r="FK25" s="79"/>
      <c r="FL25" s="79"/>
      <c r="FM25" s="79"/>
      <c r="FN25" s="79"/>
      <c r="FO25" s="79"/>
      <c r="FP25" s="79"/>
      <c r="FQ25" s="79"/>
      <c r="FR25" s="79"/>
      <c r="FS25" s="79"/>
      <c r="FT25" s="79"/>
      <c r="FU25" s="79"/>
      <c r="FV25" s="79"/>
      <c r="FW25" s="79"/>
      <c r="FX25" s="79"/>
      <c r="FY25" s="79"/>
      <c r="FZ25" s="79"/>
      <c r="GA25" s="79"/>
      <c r="GB25" s="79"/>
      <c r="GC25" s="79"/>
      <c r="GD25" s="79"/>
      <c r="GE25" s="79"/>
      <c r="GF25" s="79"/>
      <c r="GG25" s="79"/>
      <c r="GH25" s="79"/>
      <c r="GI25" s="79"/>
      <c r="GJ25" s="79"/>
      <c r="GK25" s="79"/>
      <c r="GL25" s="79"/>
      <c r="GM25" s="79"/>
      <c r="GN25" s="79"/>
      <c r="GO25" s="79"/>
      <c r="GP25" s="79"/>
      <c r="GQ25" s="79"/>
      <c r="GR25" s="79"/>
      <c r="GS25" s="79"/>
      <c r="GT25" s="79"/>
      <c r="GU25" s="79"/>
      <c r="GV25" s="79"/>
      <c r="GW25" s="79"/>
      <c r="GX25" s="79"/>
      <c r="GY25" s="79"/>
      <c r="GZ25" s="79"/>
      <c r="HA25" s="79"/>
      <c r="HB25" s="79"/>
      <c r="HC25" s="79"/>
      <c r="HD25" s="79"/>
      <c r="HE25" s="79"/>
      <c r="HF25" s="79"/>
      <c r="HG25" s="79"/>
      <c r="HH25" s="79"/>
      <c r="HI25" s="79"/>
      <c r="HJ25" s="79"/>
      <c r="HK25" s="79"/>
      <c r="HL25" s="79"/>
      <c r="HM25" s="79"/>
      <c r="HN25" s="79"/>
      <c r="HO25" s="79"/>
      <c r="HP25" s="79"/>
      <c r="HQ25" s="79"/>
      <c r="HR25" s="79"/>
      <c r="HS25" s="79"/>
      <c r="HT25" s="79"/>
      <c r="HU25" s="79"/>
      <c r="HV25" s="79"/>
      <c r="HW25" s="79"/>
      <c r="HX25" s="79"/>
      <c r="HY25" s="79"/>
      <c r="HZ25" s="79"/>
      <c r="IA25" s="79"/>
      <c r="IB25" s="79"/>
      <c r="IC25" s="79"/>
      <c r="ID25" s="79"/>
      <c r="IE25" s="79"/>
      <c r="IF25" s="79"/>
      <c r="IG25" s="79"/>
      <c r="IH25" s="79"/>
      <c r="II25" s="79"/>
      <c r="IJ25" s="79"/>
      <c r="IK25" s="79"/>
      <c r="IL25" s="79"/>
      <c r="IM25" s="79"/>
      <c r="IN25" s="79"/>
      <c r="IO25" s="79"/>
      <c r="IP25" s="79"/>
      <c r="IQ25" s="79"/>
      <c r="IR25" s="79"/>
      <c r="IS25" s="79"/>
      <c r="IT25" s="79"/>
      <c r="IU25" s="79"/>
      <c r="IV25" s="79"/>
      <c r="IW25" s="79"/>
      <c r="IX25" s="79"/>
      <c r="IY25" s="79"/>
      <c r="IZ25" s="79"/>
      <c r="JA25" s="79"/>
      <c r="JB25" s="79"/>
      <c r="JC25" s="79"/>
      <c r="JD25" s="79"/>
      <c r="JE25" s="79"/>
      <c r="JF25" s="79"/>
      <c r="JG25" s="79"/>
      <c r="JH25" s="79"/>
      <c r="JI25" s="79"/>
      <c r="JJ25" s="79"/>
      <c r="JK25" s="79"/>
      <c r="JL25" s="79"/>
      <c r="JM25" s="79"/>
      <c r="JN25" s="79"/>
      <c r="JO25" s="79"/>
      <c r="JP25" s="79"/>
      <c r="JQ25" s="79"/>
      <c r="JR25" s="79"/>
      <c r="JS25" s="79"/>
      <c r="JT25" s="79"/>
      <c r="JU25" s="79"/>
      <c r="JV25" s="79"/>
      <c r="JW25" s="79"/>
      <c r="JX25" s="79"/>
      <c r="JY25" s="79"/>
      <c r="JZ25" s="79"/>
      <c r="KA25" s="79"/>
      <c r="KB25" s="79"/>
      <c r="KC25" s="79"/>
      <c r="KD25" s="79"/>
      <c r="KE25" s="79"/>
      <c r="KF25" s="79"/>
      <c r="KG25" s="79"/>
      <c r="KH25" s="79"/>
      <c r="KI25" s="79"/>
      <c r="KJ25" s="79"/>
      <c r="KK25" s="79"/>
      <c r="KL25" s="79"/>
      <c r="KM25" s="79"/>
      <c r="KN25" s="79"/>
      <c r="KO25" s="79"/>
      <c r="KP25" s="79"/>
      <c r="KQ25" s="79"/>
      <c r="KR25" s="79"/>
      <c r="KS25" s="79"/>
      <c r="KT25" s="79"/>
      <c r="KU25" s="79"/>
      <c r="KV25" s="79"/>
      <c r="KW25" s="79"/>
      <c r="KX25" s="79"/>
      <c r="KY25" s="79"/>
      <c r="KZ25" s="79"/>
      <c r="LA25" s="79"/>
      <c r="LB25" s="79"/>
      <c r="LC25" s="79"/>
      <c r="LD25" s="79"/>
      <c r="LE25" s="79"/>
      <c r="LF25" s="79"/>
      <c r="LG25" s="79"/>
      <c r="LH25" s="79"/>
      <c r="LI25" s="79"/>
      <c r="LJ25" s="79"/>
      <c r="LK25" s="79"/>
      <c r="LL25" s="79"/>
      <c r="LM25" s="79"/>
      <c r="LN25" s="79"/>
      <c r="LO25" s="79"/>
      <c r="LP25" s="79"/>
      <c r="LQ25" s="79"/>
      <c r="LR25" s="79"/>
      <c r="LS25" s="79"/>
      <c r="LT25" s="79"/>
      <c r="LU25" s="79"/>
      <c r="LV25" s="79"/>
      <c r="LW25" s="79"/>
      <c r="LX25" s="79"/>
      <c r="LY25" s="79"/>
      <c r="LZ25" s="79"/>
      <c r="MA25" s="79"/>
      <c r="MB25" s="79"/>
      <c r="MC25" s="79"/>
      <c r="MD25" s="79"/>
      <c r="ME25" s="79"/>
      <c r="MF25" s="79"/>
      <c r="MG25" s="79"/>
      <c r="MH25" s="79"/>
      <c r="MI25" s="79"/>
      <c r="MJ25" s="79"/>
      <c r="MK25" s="79"/>
      <c r="ML25" s="79"/>
      <c r="MM25" s="79"/>
      <c r="MN25" s="79"/>
      <c r="MO25" s="79"/>
      <c r="MP25" s="79"/>
      <c r="MQ25" s="79"/>
      <c r="MR25" s="79"/>
      <c r="MS25" s="79"/>
      <c r="MT25" s="79"/>
      <c r="MU25" s="79"/>
      <c r="MV25" s="79"/>
      <c r="MW25" s="79"/>
      <c r="MX25" s="79"/>
      <c r="MY25" s="79"/>
      <c r="MZ25" s="79"/>
      <c r="NA25" s="79"/>
      <c r="NB25" s="79"/>
      <c r="NC25" s="79"/>
      <c r="ND25" s="79"/>
      <c r="NE25" s="79"/>
      <c r="NF25" s="79"/>
      <c r="NG25" s="79"/>
      <c r="NH25" s="79"/>
      <c r="NI25" s="79"/>
      <c r="NJ25" s="79"/>
      <c r="NK25" s="79"/>
      <c r="NL25" s="79"/>
      <c r="NM25" s="79"/>
      <c r="NN25" s="79"/>
      <c r="NO25" s="79"/>
      <c r="NP25" s="79"/>
      <c r="NQ25" s="79"/>
      <c r="NR25" s="79"/>
      <c r="NS25" s="79"/>
      <c r="NT25" s="79"/>
      <c r="NU25" s="79"/>
      <c r="NV25" s="79"/>
      <c r="NW25" s="79"/>
      <c r="NX25" s="79"/>
    </row>
    <row r="26" spans="1:388" ht="20.100000000000001" customHeight="1" x14ac:dyDescent="0.25">
      <c r="A26" s="41" t="s">
        <v>243</v>
      </c>
      <c r="B26" s="153"/>
      <c r="C26" s="153"/>
      <c r="D26" s="153"/>
      <c r="E26" s="153"/>
      <c r="F26" s="153"/>
      <c r="G26" s="153"/>
      <c r="H26" s="153"/>
      <c r="I26" s="153"/>
      <c r="J26" s="153"/>
      <c r="K26" s="153"/>
      <c r="L26" s="153"/>
      <c r="M26" s="153"/>
      <c r="N26" s="154">
        <f>SUM(Cash_payments_table_3[[#This Row],[Period 1]:[Period 12]])</f>
        <v>0</v>
      </c>
      <c r="O26" s="56" t="s">
        <v>267</v>
      </c>
      <c r="P26" s="5"/>
      <c r="Q26" s="5"/>
      <c r="R26" s="5"/>
    </row>
    <row r="27" spans="1:388" ht="20.100000000000001" customHeight="1" x14ac:dyDescent="0.25">
      <c r="A27" s="18" t="s">
        <v>125</v>
      </c>
      <c r="B27" s="95"/>
      <c r="C27" s="95"/>
      <c r="D27" s="95"/>
      <c r="E27" s="95"/>
      <c r="F27" s="95"/>
      <c r="G27" s="95"/>
      <c r="H27" s="95"/>
      <c r="I27" s="95"/>
      <c r="J27" s="95"/>
      <c r="K27" s="95"/>
      <c r="L27" s="95"/>
      <c r="M27" s="95"/>
      <c r="N27" s="150">
        <f>SUM(Cash_payments_table_3[[#This Row],[Period 1]:[Period 12]])</f>
        <v>0</v>
      </c>
      <c r="O27" s="56" t="s">
        <v>267</v>
      </c>
      <c r="P27" s="5"/>
      <c r="Q27" s="5"/>
      <c r="R27" s="5"/>
    </row>
    <row r="28" spans="1:388" ht="20.100000000000001" customHeight="1" x14ac:dyDescent="0.25">
      <c r="A28" s="40" t="s">
        <v>244</v>
      </c>
      <c r="B28" s="151"/>
      <c r="C28" s="151"/>
      <c r="D28" s="151"/>
      <c r="E28" s="151"/>
      <c r="F28" s="151"/>
      <c r="G28" s="151"/>
      <c r="H28" s="151"/>
      <c r="I28" s="151"/>
      <c r="J28" s="151"/>
      <c r="K28" s="151"/>
      <c r="L28" s="151"/>
      <c r="M28" s="151"/>
      <c r="N28" s="152">
        <f>SUM(Cash_payments_table_3[[#This Row],[Period 1]:[Period 12]])</f>
        <v>0</v>
      </c>
      <c r="O28" s="56" t="s">
        <v>267</v>
      </c>
      <c r="P28" s="5"/>
      <c r="Q28" s="5"/>
      <c r="R28" s="5"/>
    </row>
    <row r="29" spans="1:388" ht="20.100000000000001" customHeight="1" x14ac:dyDescent="0.25">
      <c r="A29" s="41" t="s">
        <v>129</v>
      </c>
      <c r="B29" s="153"/>
      <c r="C29" s="153"/>
      <c r="D29" s="153"/>
      <c r="E29" s="153"/>
      <c r="F29" s="153"/>
      <c r="G29" s="153"/>
      <c r="H29" s="153"/>
      <c r="I29" s="153"/>
      <c r="J29" s="153"/>
      <c r="K29" s="153"/>
      <c r="L29" s="153"/>
      <c r="M29" s="153"/>
      <c r="N29" s="154">
        <f>SUM(Cash_payments_table_3[[#This Row],[Period 1]:[Period 12]])</f>
        <v>0</v>
      </c>
      <c r="O29" s="56" t="s">
        <v>267</v>
      </c>
      <c r="P29" s="5"/>
      <c r="Q29" s="5"/>
      <c r="R29" s="5"/>
    </row>
    <row r="30" spans="1:388" ht="20.100000000000001" customHeight="1" x14ac:dyDescent="0.25">
      <c r="A30" s="18" t="s">
        <v>245</v>
      </c>
      <c r="B30" s="95"/>
      <c r="C30" s="95"/>
      <c r="D30" s="95"/>
      <c r="E30" s="95"/>
      <c r="F30" s="95"/>
      <c r="G30" s="95"/>
      <c r="H30" s="95"/>
      <c r="I30" s="95"/>
      <c r="J30" s="95"/>
      <c r="K30" s="95"/>
      <c r="L30" s="95"/>
      <c r="M30" s="95"/>
      <c r="N30" s="150">
        <f>SUM(Cash_payments_table_3[[#This Row],[Period 1]:[Period 12]])</f>
        <v>0</v>
      </c>
      <c r="O30" s="56" t="s">
        <v>267</v>
      </c>
      <c r="P30" s="5"/>
      <c r="Q30" s="5"/>
      <c r="R30" s="5"/>
    </row>
    <row r="31" spans="1:388" ht="20.100000000000001" customHeight="1" thickBot="1" x14ac:dyDescent="0.3">
      <c r="A31" s="18" t="s">
        <v>246</v>
      </c>
      <c r="B31" s="95"/>
      <c r="C31" s="95"/>
      <c r="D31" s="95"/>
      <c r="E31" s="95"/>
      <c r="F31" s="95"/>
      <c r="G31" s="95"/>
      <c r="H31" s="95"/>
      <c r="I31" s="95"/>
      <c r="J31" s="95"/>
      <c r="K31" s="95"/>
      <c r="L31" s="95"/>
      <c r="M31" s="95"/>
      <c r="N31" s="150">
        <f>SUM(Cash_payments_table_3[[#This Row],[Period 1]:[Period 12]])</f>
        <v>0</v>
      </c>
      <c r="O31" s="56" t="s">
        <v>267</v>
      </c>
      <c r="P31" s="5"/>
      <c r="Q31" s="5"/>
      <c r="R31" s="5"/>
    </row>
    <row r="32" spans="1:388" ht="30" customHeight="1" x14ac:dyDescent="0.25">
      <c r="A32" s="83" t="s">
        <v>247</v>
      </c>
      <c r="B32" s="155">
        <f>SUM(Cash_payments_table_3[Period 1],B19,B21)</f>
        <v>0</v>
      </c>
      <c r="C32" s="155">
        <f>SUM(Cash_payments_table_3[Period 2],C19,C21)</f>
        <v>0</v>
      </c>
      <c r="D32" s="155">
        <f>SUM(Cash_payments_table_3[Period 3],D19,D21)</f>
        <v>0</v>
      </c>
      <c r="E32" s="155">
        <f>SUM(Cash_payments_table_3[Period 4],E19,E21)</f>
        <v>0</v>
      </c>
      <c r="F32" s="155">
        <f>SUM(Cash_payments_table_3[Period 5],F19,F21)</f>
        <v>0</v>
      </c>
      <c r="G32" s="155">
        <f>SUM(Cash_payments_table_3[Period 6],G19,G21)</f>
        <v>0</v>
      </c>
      <c r="H32" s="155">
        <f>SUM(Cash_payments_table_3[Period 7],H19,H21)</f>
        <v>0</v>
      </c>
      <c r="I32" s="155">
        <f>SUM(Cash_payments_table_3[Period 8],I19,I21)</f>
        <v>0</v>
      </c>
      <c r="J32" s="155">
        <f>SUM(Cash_payments_table_3[Period 9],J19,J21)</f>
        <v>0</v>
      </c>
      <c r="K32" s="155">
        <f>SUM(Cash_payments_table_3[Period 10],K19,K21)</f>
        <v>0</v>
      </c>
      <c r="L32" s="155">
        <f>SUM(Cash_payments_table_3[Period 11],L19,L21)</f>
        <v>0</v>
      </c>
      <c r="M32" s="155">
        <f>SUM(Cash_payments_table_3[Period 12],M19,M21)</f>
        <v>0</v>
      </c>
      <c r="N32" s="155">
        <f>SUM(Cash_payments_table_3[[#Totals],[Period 1]:[Period 12]])</f>
        <v>0</v>
      </c>
      <c r="O32" s="56" t="s">
        <v>267</v>
      </c>
      <c r="P32" s="5"/>
      <c r="Q32" s="5"/>
      <c r="R32" s="5"/>
    </row>
    <row r="33" spans="1:18" ht="30" customHeight="1" x14ac:dyDescent="0.25">
      <c r="A33" s="17" t="s">
        <v>248</v>
      </c>
      <c r="B33" s="26" t="s">
        <v>218</v>
      </c>
      <c r="C33" s="26" t="s">
        <v>219</v>
      </c>
      <c r="D33" s="26" t="s">
        <v>220</v>
      </c>
      <c r="E33" s="26" t="s">
        <v>221</v>
      </c>
      <c r="F33" s="26" t="s">
        <v>222</v>
      </c>
      <c r="G33" s="26" t="s">
        <v>223</v>
      </c>
      <c r="H33" s="26" t="s">
        <v>224</v>
      </c>
      <c r="I33" s="26" t="s">
        <v>225</v>
      </c>
      <c r="J33" s="26" t="s">
        <v>226</v>
      </c>
      <c r="K33" s="26" t="s">
        <v>227</v>
      </c>
      <c r="L33" s="26" t="s">
        <v>228</v>
      </c>
      <c r="M33" s="26" t="s">
        <v>229</v>
      </c>
      <c r="N33" s="27" t="s">
        <v>214</v>
      </c>
      <c r="O33" s="56" t="s">
        <v>267</v>
      </c>
      <c r="P33" s="5"/>
      <c r="Q33" s="5"/>
      <c r="R33" s="5"/>
    </row>
    <row r="34" spans="1:18" ht="20.100000000000001" customHeight="1" x14ac:dyDescent="0.25">
      <c r="A34" s="18" t="s">
        <v>249</v>
      </c>
      <c r="B34" s="95"/>
      <c r="C34" s="95"/>
      <c r="D34" s="95"/>
      <c r="E34" s="95"/>
      <c r="F34" s="95"/>
      <c r="G34" s="95"/>
      <c r="H34" s="95"/>
      <c r="I34" s="95"/>
      <c r="J34" s="95"/>
      <c r="K34" s="95"/>
      <c r="L34" s="95"/>
      <c r="M34" s="156"/>
      <c r="N34" s="150">
        <f>SUM(Financing_table_3[[#This Row],[Period 1]:[Period 12]])</f>
        <v>0</v>
      </c>
      <c r="O34" s="56" t="s">
        <v>267</v>
      </c>
      <c r="P34" s="5"/>
      <c r="Q34" s="5"/>
      <c r="R34" s="5"/>
    </row>
    <row r="35" spans="1:18" ht="20.100000000000001" customHeight="1" x14ac:dyDescent="0.25">
      <c r="A35" s="18" t="s">
        <v>250</v>
      </c>
      <c r="B35" s="95"/>
      <c r="C35" s="95"/>
      <c r="D35" s="95"/>
      <c r="E35" s="95"/>
      <c r="F35" s="95"/>
      <c r="G35" s="95"/>
      <c r="H35" s="95"/>
      <c r="I35" s="95"/>
      <c r="J35" s="95"/>
      <c r="K35" s="95"/>
      <c r="L35" s="95"/>
      <c r="M35" s="95"/>
      <c r="N35" s="150">
        <f>SUM(Financing_table_3[[#This Row],[Period 1]:[Period 12]])</f>
        <v>0</v>
      </c>
      <c r="O35" s="56" t="s">
        <v>267</v>
      </c>
      <c r="P35" s="5"/>
      <c r="Q35" s="5"/>
      <c r="R35" s="5"/>
    </row>
    <row r="36" spans="1:18" ht="20.100000000000001" customHeight="1" x14ac:dyDescent="0.25">
      <c r="A36" s="40" t="s">
        <v>251</v>
      </c>
      <c r="B36" s="151"/>
      <c r="C36" s="151"/>
      <c r="D36" s="151"/>
      <c r="E36" s="151"/>
      <c r="F36" s="151"/>
      <c r="G36" s="151"/>
      <c r="H36" s="151"/>
      <c r="I36" s="151"/>
      <c r="J36" s="151"/>
      <c r="K36" s="151"/>
      <c r="L36" s="151"/>
      <c r="M36" s="151"/>
      <c r="N36" s="152">
        <f>SUM(Financing_table_3[[#This Row],[Period 1]:[Period 12]])</f>
        <v>0</v>
      </c>
      <c r="O36" s="56" t="s">
        <v>267</v>
      </c>
      <c r="P36" s="5"/>
      <c r="Q36" s="5"/>
      <c r="R36" s="5"/>
    </row>
    <row r="37" spans="1:18" ht="20.100000000000001" customHeight="1" x14ac:dyDescent="0.25">
      <c r="A37" s="41" t="s">
        <v>252</v>
      </c>
      <c r="B37" s="153"/>
      <c r="C37" s="153"/>
      <c r="D37" s="153"/>
      <c r="E37" s="153"/>
      <c r="F37" s="153"/>
      <c r="G37" s="153"/>
      <c r="H37" s="153"/>
      <c r="I37" s="153"/>
      <c r="J37" s="153"/>
      <c r="K37" s="153"/>
      <c r="L37" s="153"/>
      <c r="M37" s="153"/>
      <c r="N37" s="154">
        <f>SUM(Financing_table_3[[#This Row],[Period 1]:[Period 12]])</f>
        <v>0</v>
      </c>
      <c r="O37" s="56" t="s">
        <v>267</v>
      </c>
      <c r="P37" s="5"/>
      <c r="Q37" s="5"/>
      <c r="R37" s="5"/>
    </row>
    <row r="38" spans="1:18" ht="20.100000000000001" customHeight="1" x14ac:dyDescent="0.25">
      <c r="A38" s="18" t="s">
        <v>253</v>
      </c>
      <c r="B38" s="95"/>
      <c r="C38" s="95"/>
      <c r="D38" s="95"/>
      <c r="E38" s="95"/>
      <c r="F38" s="95"/>
      <c r="G38" s="95"/>
      <c r="H38" s="95"/>
      <c r="I38" s="95"/>
      <c r="J38" s="95"/>
      <c r="K38" s="95"/>
      <c r="L38" s="95"/>
      <c r="M38" s="95"/>
      <c r="N38" s="150">
        <f>SUM(Financing_table_3[[#This Row],[Period 1]:[Period 12]])</f>
        <v>0</v>
      </c>
      <c r="O38" s="56" t="s">
        <v>267</v>
      </c>
      <c r="P38" s="5"/>
      <c r="Q38" s="5"/>
      <c r="R38" s="5"/>
    </row>
    <row r="39" spans="1:18" ht="20.100000000000001" customHeight="1" thickBot="1" x14ac:dyDescent="0.3">
      <c r="A39" s="40" t="s">
        <v>254</v>
      </c>
      <c r="B39" s="151"/>
      <c r="C39" s="151"/>
      <c r="D39" s="151"/>
      <c r="E39" s="151"/>
      <c r="F39" s="151"/>
      <c r="G39" s="151"/>
      <c r="H39" s="151"/>
      <c r="I39" s="151"/>
      <c r="J39" s="151"/>
      <c r="K39" s="151"/>
      <c r="L39" s="151"/>
      <c r="M39" s="151"/>
      <c r="N39" s="152">
        <f>SUM(Financing_table_3[[#This Row],[Period 1]:[Period 12]])</f>
        <v>0</v>
      </c>
      <c r="O39" s="56" t="s">
        <v>267</v>
      </c>
      <c r="P39" s="5"/>
      <c r="Q39" s="5"/>
      <c r="R39" s="5"/>
    </row>
    <row r="40" spans="1:18" ht="30" customHeight="1" x14ac:dyDescent="0.25">
      <c r="A40" s="165" t="s">
        <v>255</v>
      </c>
      <c r="B40" s="166">
        <f t="shared" ref="B40:M40" si="5">SUM(-B34,B35:B36,-B37,B38:B39)</f>
        <v>0</v>
      </c>
      <c r="C40" s="166">
        <f t="shared" si="5"/>
        <v>0</v>
      </c>
      <c r="D40" s="166">
        <f t="shared" si="5"/>
        <v>0</v>
      </c>
      <c r="E40" s="166">
        <f t="shared" si="5"/>
        <v>0</v>
      </c>
      <c r="F40" s="166">
        <f t="shared" si="5"/>
        <v>0</v>
      </c>
      <c r="G40" s="166">
        <f t="shared" si="5"/>
        <v>0</v>
      </c>
      <c r="H40" s="166">
        <f t="shared" si="5"/>
        <v>0</v>
      </c>
      <c r="I40" s="166">
        <f t="shared" si="5"/>
        <v>0</v>
      </c>
      <c r="J40" s="166">
        <f t="shared" si="5"/>
        <v>0</v>
      </c>
      <c r="K40" s="166">
        <f t="shared" si="5"/>
        <v>0</v>
      </c>
      <c r="L40" s="166">
        <f t="shared" si="5"/>
        <v>0</v>
      </c>
      <c r="M40" s="166">
        <f t="shared" si="5"/>
        <v>0</v>
      </c>
      <c r="N40" s="166">
        <f>SUM(Financing_table_3[[#Totals],[Period 1]:[Period 12]])</f>
        <v>0</v>
      </c>
      <c r="O40" s="56" t="s">
        <v>267</v>
      </c>
      <c r="P40" s="5"/>
      <c r="Q40" s="5"/>
      <c r="R40" s="5"/>
    </row>
    <row r="41" spans="1:18" ht="30" customHeight="1" x14ac:dyDescent="0.25">
      <c r="A41" s="167" t="s">
        <v>256</v>
      </c>
      <c r="B41" s="168" t="s">
        <v>218</v>
      </c>
      <c r="C41" s="168" t="s">
        <v>219</v>
      </c>
      <c r="D41" s="168" t="s">
        <v>220</v>
      </c>
      <c r="E41" s="168" t="s">
        <v>221</v>
      </c>
      <c r="F41" s="168" t="s">
        <v>222</v>
      </c>
      <c r="G41" s="168" t="s">
        <v>223</v>
      </c>
      <c r="H41" s="168" t="s">
        <v>224</v>
      </c>
      <c r="I41" s="168" t="s">
        <v>225</v>
      </c>
      <c r="J41" s="168" t="s">
        <v>226</v>
      </c>
      <c r="K41" s="168" t="s">
        <v>227</v>
      </c>
      <c r="L41" s="168" t="s">
        <v>228</v>
      </c>
      <c r="M41" s="168" t="s">
        <v>229</v>
      </c>
      <c r="N41" s="168" t="s">
        <v>214</v>
      </c>
      <c r="O41" s="56" t="s">
        <v>267</v>
      </c>
      <c r="P41" s="5"/>
      <c r="Q41" s="5"/>
      <c r="R41" s="5"/>
    </row>
    <row r="42" spans="1:18" ht="50.1" customHeight="1" x14ac:dyDescent="0.25">
      <c r="A42" s="201" t="s">
        <v>257</v>
      </c>
      <c r="B42" s="132">
        <f>SUM(Opening_balance_and_revenue_table_3[Period 1],-Cash_payments_table_3[[#Totals],[Period 1]],Financing_table_3[[#Totals],[Period 1]])</f>
        <v>0</v>
      </c>
      <c r="C42" s="132">
        <f>SUM(Opening_balance_and_revenue_table_3[Period 2],-Cash_payments_table_3[[#Totals],[Period 2]],Financing_table_3[[#Totals],[Period 2]])</f>
        <v>0</v>
      </c>
      <c r="D42" s="132">
        <f>SUM(Opening_balance_and_revenue_table_3[Period 3],-Cash_payments_table_3[[#Totals],[Period 3]],Financing_table_3[[#Totals],[Period 3]])</f>
        <v>0</v>
      </c>
      <c r="E42" s="132">
        <f>SUM(Opening_balance_and_revenue_table_3[Period 4],-Cash_payments_table_3[[#Totals],[Period 4]],Financing_table_3[[#Totals],[Period 4]])</f>
        <v>0</v>
      </c>
      <c r="F42" s="132">
        <f>SUM(Opening_balance_and_revenue_table_3[Period 5],-Cash_payments_table_3[[#Totals],[Period 5]],Financing_table_3[[#Totals],[Period 5]])</f>
        <v>0</v>
      </c>
      <c r="G42" s="132">
        <f>SUM(Opening_balance_and_revenue_table_3[Period 6],-Cash_payments_table_3[[#Totals],[Period 6]],Financing_table_3[[#Totals],[Period 6]])</f>
        <v>0</v>
      </c>
      <c r="H42" s="132">
        <f>SUM(Opening_balance_and_revenue_table_3[Period 7],-Cash_payments_table_3[[#Totals],[Period 7]],Financing_table_3[[#Totals],[Period 7]])</f>
        <v>0</v>
      </c>
      <c r="I42" s="132">
        <f>SUM(Opening_balance_and_revenue_table_3[Period 8],-Cash_payments_table_3[[#Totals],[Period 8]],Financing_table_3[[#Totals],[Period 8]])</f>
        <v>0</v>
      </c>
      <c r="J42" s="132">
        <f>SUM(Opening_balance_and_revenue_table_3[Period 9],-Cash_payments_table_3[[#Totals],[Period 9]],Financing_table_3[[#Totals],[Period 9]])</f>
        <v>0</v>
      </c>
      <c r="K42" s="132">
        <f>SUM(Opening_balance_and_revenue_table_3[Period 10],-Cash_payments_table_3[[#Totals],[Period 10]],Financing_table_3[[#Totals],[Period 10]])</f>
        <v>0</v>
      </c>
      <c r="L42" s="132">
        <f>SUM(Opening_balance_and_revenue_table_3[Period 11],-Cash_payments_table_3[[#Totals],[Period 11]],Financing_table_3[[#Totals],[Period 11]])</f>
        <v>0</v>
      </c>
      <c r="M42" s="132">
        <f>SUM(Opening_balance_and_revenue_table_3[Period 12],-Cash_payments_table_3[[#Totals],[Period 12]],Financing_table_3[[#Totals],[Period 12]])</f>
        <v>0</v>
      </c>
      <c r="N42" s="132"/>
      <c r="O42" s="56" t="s">
        <v>267</v>
      </c>
      <c r="P42" s="4"/>
      <c r="Q42" s="4"/>
      <c r="R42" s="4"/>
    </row>
    <row r="43" spans="1:18" ht="30" hidden="1" customHeight="1" x14ac:dyDescent="0.25">
      <c r="A43" s="169" t="s">
        <v>237</v>
      </c>
      <c r="B43" s="163" cm="1">
        <f t="array" ref="B43">SUM(B42,-Opening_table_3[Period 1])</f>
        <v>0</v>
      </c>
      <c r="C43" s="163">
        <f>SUM(C42,-B42)</f>
        <v>0</v>
      </c>
      <c r="D43" s="163">
        <f t="shared" ref="D43:M43" si="6">SUM(D42,-C42)</f>
        <v>0</v>
      </c>
      <c r="E43" s="163">
        <f t="shared" si="6"/>
        <v>0</v>
      </c>
      <c r="F43" s="163">
        <f t="shared" si="6"/>
        <v>0</v>
      </c>
      <c r="G43" s="163">
        <f t="shared" si="6"/>
        <v>0</v>
      </c>
      <c r="H43" s="163">
        <f t="shared" si="6"/>
        <v>0</v>
      </c>
      <c r="I43" s="163">
        <f t="shared" si="6"/>
        <v>0</v>
      </c>
      <c r="J43" s="163">
        <f t="shared" si="6"/>
        <v>0</v>
      </c>
      <c r="K43" s="163">
        <f t="shared" si="6"/>
        <v>0</v>
      </c>
      <c r="L43" s="163">
        <f t="shared" si="6"/>
        <v>0</v>
      </c>
      <c r="M43" s="163">
        <f t="shared" si="6"/>
        <v>0</v>
      </c>
      <c r="N43" s="164">
        <f>SUM(Liquidity_table_3[[#This Row],[Period 1]:[Period 12]])</f>
        <v>0</v>
      </c>
      <c r="O43" s="170" t="s">
        <v>267</v>
      </c>
      <c r="P43" s="5"/>
      <c r="Q43" s="5"/>
      <c r="R43" s="5"/>
    </row>
    <row r="44" spans="1:18" ht="30" customHeight="1" x14ac:dyDescent="0.25">
      <c r="A44" s="171" t="s">
        <v>238</v>
      </c>
      <c r="B44" s="39" t="s">
        <v>64</v>
      </c>
      <c r="C44" s="39" t="s">
        <v>64</v>
      </c>
      <c r="D44" s="39" t="s">
        <v>64</v>
      </c>
      <c r="E44" s="39" t="s">
        <v>64</v>
      </c>
      <c r="F44" s="39" t="s">
        <v>64</v>
      </c>
      <c r="G44" s="39" t="s">
        <v>64</v>
      </c>
      <c r="H44" s="39" t="s">
        <v>64</v>
      </c>
      <c r="I44" s="39" t="s">
        <v>64</v>
      </c>
      <c r="J44" s="39" t="s">
        <v>64</v>
      </c>
      <c r="K44" s="39" t="s">
        <v>64</v>
      </c>
      <c r="L44" s="39" t="s">
        <v>64</v>
      </c>
      <c r="M44" s="39" t="s">
        <v>64</v>
      </c>
      <c r="N44" s="39" t="s">
        <v>64</v>
      </c>
      <c r="O44" s="56" t="s">
        <v>267</v>
      </c>
      <c r="P44" s="5"/>
      <c r="Q44" s="5"/>
      <c r="R44" s="5"/>
    </row>
    <row r="45" spans="1:18" ht="180" customHeight="1" x14ac:dyDescent="0.25">
      <c r="A45" s="196" t="s">
        <v>266</v>
      </c>
      <c r="B45" s="39" t="s">
        <v>64</v>
      </c>
      <c r="C45" s="39" t="s">
        <v>64</v>
      </c>
      <c r="D45" s="39" t="s">
        <v>64</v>
      </c>
      <c r="E45" s="39" t="s">
        <v>64</v>
      </c>
      <c r="F45" s="39" t="s">
        <v>64</v>
      </c>
      <c r="G45" s="39" t="s">
        <v>64</v>
      </c>
      <c r="H45" s="39" t="s">
        <v>64</v>
      </c>
      <c r="I45" s="39" t="s">
        <v>64</v>
      </c>
      <c r="J45" s="39" t="s">
        <v>64</v>
      </c>
      <c r="K45" s="39" t="s">
        <v>64</v>
      </c>
      <c r="L45" s="39" t="s">
        <v>64</v>
      </c>
      <c r="M45" s="39" t="s">
        <v>64</v>
      </c>
      <c r="N45" s="39" t="s">
        <v>64</v>
      </c>
      <c r="O45" s="56" t="s">
        <v>267</v>
      </c>
      <c r="P45" s="4"/>
    </row>
    <row r="46" spans="1:18" ht="18" customHeight="1" x14ac:dyDescent="0.25">
      <c r="A46" s="174" t="s">
        <v>7</v>
      </c>
      <c r="B46" s="39" t="s">
        <v>64</v>
      </c>
      <c r="C46" s="39" t="s">
        <v>64</v>
      </c>
      <c r="D46" s="39" t="s">
        <v>64</v>
      </c>
      <c r="E46" s="39" t="s">
        <v>64</v>
      </c>
      <c r="F46" s="39" t="s">
        <v>64</v>
      </c>
      <c r="G46" s="39" t="s">
        <v>64</v>
      </c>
      <c r="H46" s="39" t="s">
        <v>64</v>
      </c>
      <c r="I46" s="39" t="s">
        <v>64</v>
      </c>
      <c r="J46" s="39" t="s">
        <v>64</v>
      </c>
      <c r="K46" s="39" t="s">
        <v>64</v>
      </c>
      <c r="L46" s="39" t="s">
        <v>64</v>
      </c>
      <c r="M46" s="39" t="s">
        <v>64</v>
      </c>
      <c r="N46" s="39" t="s">
        <v>64</v>
      </c>
      <c r="O46" s="56" t="s">
        <v>267</v>
      </c>
      <c r="P46" s="5"/>
      <c r="Q46" s="5"/>
      <c r="R46" s="5"/>
    </row>
    <row r="47" spans="1:18" ht="3.95" customHeight="1" x14ac:dyDescent="0.25">
      <c r="A47" s="56" t="s">
        <v>268</v>
      </c>
      <c r="B47" s="56" t="s">
        <v>268</v>
      </c>
      <c r="C47" s="56" t="s">
        <v>268</v>
      </c>
      <c r="D47" s="56" t="s">
        <v>268</v>
      </c>
      <c r="E47" s="56" t="s">
        <v>268</v>
      </c>
      <c r="F47" s="56" t="s">
        <v>268</v>
      </c>
      <c r="G47" s="56" t="s">
        <v>268</v>
      </c>
      <c r="H47" s="56" t="s">
        <v>268</v>
      </c>
      <c r="I47" s="56" t="s">
        <v>268</v>
      </c>
      <c r="J47" s="56" t="s">
        <v>268</v>
      </c>
      <c r="K47" s="56" t="s">
        <v>268</v>
      </c>
      <c r="L47" s="56" t="s">
        <v>268</v>
      </c>
      <c r="M47" s="56" t="s">
        <v>268</v>
      </c>
      <c r="N47" s="56" t="s">
        <v>268</v>
      </c>
      <c r="O47" s="56" t="s">
        <v>267</v>
      </c>
    </row>
  </sheetData>
  <sheetProtection sheet="1" objects="1" scenarios="1"/>
  <conditionalFormatting sqref="B9:N9 B17:N17 B42:N43">
    <cfRule type="expression" dxfId="0" priority="2" stopIfTrue="1">
      <formula>B9&lt;0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14" id="{C4D20626-89F3-5543-8C66-D57BDE7F5948}">
            <x14:iconSet iconSet="3Flags" custom="1">
              <x14:cfvo type="percent">
                <xm:f>0</xm:f>
              </x14:cfvo>
              <x14:cfvo type="num">
                <xm:f>0</xm:f>
              </x14:cfvo>
              <x14:cfvo type="num">
                <xm:f>1</xm:f>
              </x14:cfvo>
              <x14:cfIcon iconSet="3Flags" iconId="0"/>
              <x14:cfIcon iconSet="NoIcons" iconId="0"/>
              <x14:cfIcon iconSet="NoIcons" iconId="0"/>
            </x14:iconSet>
          </x14:cfRule>
          <xm:sqref>B17:N17 B9:N9</xm:sqref>
        </x14:conditionalFormatting>
        <x14:conditionalFormatting xmlns:xm="http://schemas.microsoft.com/office/excel/2006/main">
          <x14:cfRule type="iconSet" priority="6" id="{DC312491-6D1A-ED4A-8764-98A02B481B87}">
            <x14:iconSet iconSet="3Flags" custom="1">
              <x14:cfvo type="percent">
                <xm:f>0</xm:f>
              </x14:cfvo>
              <x14:cfvo type="num" gte="0">
                <xm:f>0</xm:f>
              </x14:cfvo>
              <x14:cfvo type="num" gte="0">
                <xm:f>1</xm:f>
              </x14:cfvo>
              <x14:cfIcon iconSet="3Flags" iconId="0"/>
              <x14:cfIcon iconSet="NoIcons" iconId="0"/>
              <x14:cfIcon iconSet="NoIcons" iconId="0"/>
            </x14:iconSet>
          </x14:cfRule>
          <xm:sqref>B42:N43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6</vt:i4>
      </vt:variant>
      <vt:variant>
        <vt:lpstr>Nimetyt alueet</vt:lpstr>
      </vt:variant>
      <vt:variant>
        <vt:i4>14</vt:i4>
      </vt:variant>
    </vt:vector>
  </HeadingPairs>
  <TitlesOfParts>
    <vt:vector size="20" baseType="lpstr">
      <vt:lpstr>Investment calculation</vt:lpstr>
      <vt:lpstr>Profitability calculation</vt:lpstr>
      <vt:lpstr>Monthly sales projection</vt:lpstr>
      <vt:lpstr>Cash flow calculation (Y1)</vt:lpstr>
      <vt:lpstr>Cash flow calculation (Y2)</vt:lpstr>
      <vt:lpstr>Cash flow calculation (Y3)</vt:lpstr>
      <vt:lpstr>'Investment calculation'!Business_name</vt:lpstr>
      <vt:lpstr>'Cash flow calculation (Y1)'!Financial_year_start</vt:lpstr>
      <vt:lpstr>'Cash flow calculation (Y2)'!Financial_year_start</vt:lpstr>
      <vt:lpstr>'Monthly sales projection'!Product_Service_1_name</vt:lpstr>
      <vt:lpstr>'Monthly sales projection'!Product_Service_2_name</vt:lpstr>
      <vt:lpstr>'Monthly sales projection'!Product_Service_3_name</vt:lpstr>
      <vt:lpstr>'Monthly sales projection'!Product_Service_4_name</vt:lpstr>
      <vt:lpstr>'Monthly sales projection'!Product_Service_5_name</vt:lpstr>
      <vt:lpstr>'Monthly sales projection'!Product_Service_6_name</vt:lpstr>
      <vt:lpstr>'Profitability calculation'!Tax_administration_website_tax_rate_calculator</vt:lpstr>
      <vt:lpstr>'Cash flow calculation (Y3)'!Tilikauden_alku</vt:lpstr>
      <vt:lpstr>'Cash flow calculation (Y1)'!Value_added_tax_rate</vt:lpstr>
      <vt:lpstr>'Cash flow calculation (Y2)'!Value_added_tax_rate</vt:lpstr>
      <vt:lpstr>'Cash flow calculation (Y3)'!Value_added_tax_rate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Lasse Ilmonen</dc:creator>
  <cp:lastModifiedBy>Babitzin Valentin</cp:lastModifiedBy>
  <dcterms:created xsi:type="dcterms:W3CDTF">2023-11-22T13:26:55Z</dcterms:created>
  <dcterms:modified xsi:type="dcterms:W3CDTF">2026-01-14T11:47:15Z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35e945f-875f-47b7-87fa-10b3524d17f5_Enabled">
    <vt:lpwstr>true</vt:lpwstr>
  </property>
  <property fmtid="{D5CDD505-2E9C-101B-9397-08002B2CF9AE}" pid="3" name="MSIP_Label_f35e945f-875f-47b7-87fa-10b3524d17f5_SetDate">
    <vt:lpwstr>2026-01-14T11:41:40Z</vt:lpwstr>
  </property>
  <property fmtid="{D5CDD505-2E9C-101B-9397-08002B2CF9AE}" pid="4" name="MSIP_Label_f35e945f-875f-47b7-87fa-10b3524d17f5_Method">
    <vt:lpwstr>Standard</vt:lpwstr>
  </property>
  <property fmtid="{D5CDD505-2E9C-101B-9397-08002B2CF9AE}" pid="5" name="MSIP_Label_f35e945f-875f-47b7-87fa-10b3524d17f5_Name">
    <vt:lpwstr>Julkinen (harkinnanvaraisesti)</vt:lpwstr>
  </property>
  <property fmtid="{D5CDD505-2E9C-101B-9397-08002B2CF9AE}" pid="6" name="MSIP_Label_f35e945f-875f-47b7-87fa-10b3524d17f5_SiteId">
    <vt:lpwstr>3feb6bc1-d722-4726-966c-5b58b64df752</vt:lpwstr>
  </property>
  <property fmtid="{D5CDD505-2E9C-101B-9397-08002B2CF9AE}" pid="7" name="MSIP_Label_f35e945f-875f-47b7-87fa-10b3524d17f5_ActionId">
    <vt:lpwstr>491c8195-fe6c-4690-9673-ed6f45824783</vt:lpwstr>
  </property>
  <property fmtid="{D5CDD505-2E9C-101B-9397-08002B2CF9AE}" pid="8" name="MSIP_Label_f35e945f-875f-47b7-87fa-10b3524d17f5_ContentBits">
    <vt:lpwstr>0</vt:lpwstr>
  </property>
  <property fmtid="{D5CDD505-2E9C-101B-9397-08002B2CF9AE}" pid="9" name="MSIP_Label_f35e945f-875f-47b7-87fa-10b3524d17f5_Tag">
    <vt:lpwstr>10, 3, 0, 1</vt:lpwstr>
  </property>
</Properties>
</file>